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84" yWindow="96" windowWidth="17088" windowHeight="8568"/>
  </bookViews>
  <sheets>
    <sheet name="Hazards" sheetId="6" r:id="rId1"/>
    <sheet name="Proportions" sheetId="10" r:id="rId2"/>
  </sheets>
  <calcPr calcId="145621"/>
</workbook>
</file>

<file path=xl/calcChain.xml><?xml version="1.0" encoding="utf-8"?>
<calcChain xmlns="http://schemas.openxmlformats.org/spreadsheetml/2006/main">
  <c r="AC16" i="10" l="1"/>
  <c r="AP7" i="6"/>
  <c r="AN7" i="6"/>
  <c r="AL7" i="6"/>
  <c r="R27" i="10"/>
  <c r="BR28" i="10"/>
  <c r="BU26" i="10" s="1"/>
  <c r="BQ28" i="10"/>
  <c r="BM28" i="10"/>
  <c r="AQ28" i="10"/>
  <c r="AP28" i="10"/>
  <c r="AL28" i="10"/>
  <c r="AH28" i="10"/>
  <c r="AE28" i="10"/>
  <c r="AD28" i="10"/>
  <c r="BN28" i="10" s="1"/>
  <c r="AC28" i="10"/>
  <c r="BL28" i="10" s="1"/>
  <c r="Z28" i="10"/>
  <c r="U28" i="10"/>
  <c r="CL28" i="10" s="1"/>
  <c r="Q27" i="10"/>
  <c r="AT26" i="10"/>
  <c r="R26" i="10"/>
  <c r="V28" i="10" s="1"/>
  <c r="Q26" i="10"/>
  <c r="BR24" i="10"/>
  <c r="BQ24" i="10"/>
  <c r="BM24" i="10"/>
  <c r="AQ24" i="10"/>
  <c r="AP24" i="10"/>
  <c r="AL24" i="10"/>
  <c r="AH24" i="10"/>
  <c r="AE24" i="10"/>
  <c r="AD24" i="10"/>
  <c r="BN24" i="10" s="1"/>
  <c r="AC24" i="10"/>
  <c r="BL24" i="10" s="1"/>
  <c r="BU24" i="10" s="1"/>
  <c r="Z24" i="10"/>
  <c r="U24" i="10"/>
  <c r="BK24" i="10" s="1"/>
  <c r="R23" i="10"/>
  <c r="Q23" i="10"/>
  <c r="BU22" i="10"/>
  <c r="AT22" i="10"/>
  <c r="R22" i="10"/>
  <c r="V24" i="10" s="1"/>
  <c r="X24" i="10" s="1"/>
  <c r="Q22" i="10"/>
  <c r="BR20" i="10"/>
  <c r="BU18" i="10" s="1"/>
  <c r="BQ20" i="10"/>
  <c r="BM20" i="10"/>
  <c r="AQ20" i="10"/>
  <c r="AP20" i="10"/>
  <c r="AL20" i="10"/>
  <c r="AH20" i="10"/>
  <c r="AE20" i="10"/>
  <c r="BO20" i="10" s="1"/>
  <c r="AD20" i="10"/>
  <c r="BN20" i="10" s="1"/>
  <c r="AC20" i="10"/>
  <c r="BL20" i="10" s="1"/>
  <c r="Z20" i="10"/>
  <c r="U20" i="10"/>
  <c r="BK20" i="10" s="1"/>
  <c r="R19" i="10"/>
  <c r="Q19" i="10"/>
  <c r="AT18" i="10"/>
  <c r="R18" i="10"/>
  <c r="V20" i="10" s="1"/>
  <c r="X20" i="10" s="1"/>
  <c r="Q18" i="10"/>
  <c r="BR16" i="10"/>
  <c r="BU14" i="10" s="1"/>
  <c r="BQ16" i="10"/>
  <c r="BM16" i="10"/>
  <c r="AQ16" i="10"/>
  <c r="AP16" i="10"/>
  <c r="AL16" i="10"/>
  <c r="AH16" i="10"/>
  <c r="AE16" i="10"/>
  <c r="AD16" i="10"/>
  <c r="BN16" i="10" s="1"/>
  <c r="BL16" i="10"/>
  <c r="Z16" i="10"/>
  <c r="U16" i="10"/>
  <c r="BK16" i="10" s="1"/>
  <c r="R15" i="10"/>
  <c r="Q15" i="10"/>
  <c r="AT14" i="10"/>
  <c r="R14" i="10"/>
  <c r="V16" i="10" s="1"/>
  <c r="W16" i="10" s="1"/>
  <c r="AM16" i="10" s="1"/>
  <c r="Q14" i="10"/>
  <c r="R12" i="10"/>
  <c r="Q12" i="10"/>
  <c r="Z11" i="10"/>
  <c r="Y11" i="10"/>
  <c r="X11" i="10"/>
  <c r="W11" i="10"/>
  <c r="V11" i="10"/>
  <c r="AA24" i="10" s="1"/>
  <c r="AG10" i="10"/>
  <c r="AF10" i="10"/>
  <c r="AE10" i="10"/>
  <c r="AD10" i="10"/>
  <c r="AC10" i="10"/>
  <c r="AG24" i="10" s="1"/>
  <c r="AW7" i="10"/>
  <c r="AU7" i="10"/>
  <c r="AS7" i="10"/>
  <c r="Q5" i="10"/>
  <c r="P5" i="10"/>
  <c r="AA20" i="10" l="1"/>
  <c r="AS20" i="10" s="1"/>
  <c r="AS19" i="10" s="1"/>
  <c r="BF18" i="10" s="1"/>
  <c r="AA16" i="10"/>
  <c r="AR16" i="10" s="1"/>
  <c r="AR15" i="10" s="1"/>
  <c r="AZ14" i="10" s="1"/>
  <c r="AF24" i="10"/>
  <c r="CL16" i="10"/>
  <c r="CL20" i="10"/>
  <c r="CL24" i="10"/>
  <c r="CK20" i="10"/>
  <c r="BV20" i="10" s="1"/>
  <c r="AJ16" i="10"/>
  <c r="AF20" i="10"/>
  <c r="X28" i="10"/>
  <c r="AN28" i="10" s="1"/>
  <c r="W28" i="10"/>
  <c r="AM28" i="10" s="1"/>
  <c r="BJ28" i="10" s="1"/>
  <c r="AF16" i="10"/>
  <c r="AN24" i="10"/>
  <c r="BK28" i="10"/>
  <c r="AJ28" i="10"/>
  <c r="AR20" i="10"/>
  <c r="BS24" i="10"/>
  <c r="AR24" i="10"/>
  <c r="BS16" i="10"/>
  <c r="BP20" i="10"/>
  <c r="AK24" i="10"/>
  <c r="W24" i="10"/>
  <c r="AM24" i="10" s="1"/>
  <c r="BU20" i="10"/>
  <c r="BU28" i="10"/>
  <c r="BT24" i="10"/>
  <c r="AS24" i="10"/>
  <c r="AG28" i="10"/>
  <c r="BT28" i="10" s="1"/>
  <c r="AG20" i="10"/>
  <c r="BT20" i="10" s="1"/>
  <c r="AG16" i="10"/>
  <c r="BT16" i="10" s="1"/>
  <c r="X16" i="10"/>
  <c r="AK16" i="10"/>
  <c r="BO16" i="10"/>
  <c r="AN20" i="10"/>
  <c r="W20" i="10"/>
  <c r="AM20" i="10" s="1"/>
  <c r="AK20" i="10"/>
  <c r="AF28" i="10"/>
  <c r="BO28" i="10"/>
  <c r="BU16" i="10"/>
  <c r="AJ24" i="10"/>
  <c r="BO24" i="10"/>
  <c r="AA28" i="10"/>
  <c r="AR28" i="10" s="1"/>
  <c r="AK28" i="10"/>
  <c r="AJ20" i="10"/>
  <c r="AS16" i="10" l="1"/>
  <c r="BW20" i="10"/>
  <c r="BX20" i="10" s="1"/>
  <c r="Y28" i="10"/>
  <c r="AO28" i="10"/>
  <c r="AZ28" i="10"/>
  <c r="AR27" i="10"/>
  <c r="AZ26" i="10" s="1"/>
  <c r="BT27" i="10"/>
  <c r="CG26" i="10" s="1"/>
  <c r="BS15" i="10"/>
  <c r="CA14" i="10" s="1"/>
  <c r="BS23" i="10"/>
  <c r="CA22" i="10" s="1"/>
  <c r="Y20" i="10"/>
  <c r="BS28" i="10"/>
  <c r="BP24" i="10"/>
  <c r="CK24" i="10"/>
  <c r="CG24" i="10" s="1"/>
  <c r="CI24" i="10" s="1"/>
  <c r="AT20" i="10"/>
  <c r="CK16" i="10"/>
  <c r="CA16" i="10" s="1"/>
  <c r="BP16" i="10"/>
  <c r="CG20" i="10"/>
  <c r="CI20" i="10" s="1"/>
  <c r="BT19" i="10"/>
  <c r="CG18" i="10" s="1"/>
  <c r="AS15" i="10"/>
  <c r="BF14" i="10" s="1"/>
  <c r="AR23" i="10"/>
  <c r="AZ22" i="10" s="1"/>
  <c r="BS20" i="10"/>
  <c r="AO24" i="10"/>
  <c r="BJ24" i="10"/>
  <c r="AZ24" i="10" s="1"/>
  <c r="AT28" i="10"/>
  <c r="AV28" i="10"/>
  <c r="AU28" i="10"/>
  <c r="AT16" i="10"/>
  <c r="BT15" i="10"/>
  <c r="CG14" i="10" s="1"/>
  <c r="CG16" i="10"/>
  <c r="CI16" i="10" s="1"/>
  <c r="Y16" i="10"/>
  <c r="AN16" i="10"/>
  <c r="AS28" i="10"/>
  <c r="AS23" i="10"/>
  <c r="BF22" i="10" s="1"/>
  <c r="BP28" i="10"/>
  <c r="CK28" i="10"/>
  <c r="CG28" i="10" s="1"/>
  <c r="CI28" i="10" s="1"/>
  <c r="BJ20" i="10"/>
  <c r="AU20" i="10" s="1"/>
  <c r="AO20" i="10"/>
  <c r="BT23" i="10"/>
  <c r="CG22" i="10" s="1"/>
  <c r="AV24" i="10"/>
  <c r="AT24" i="10"/>
  <c r="AR19" i="10"/>
  <c r="AZ18" i="10" s="1"/>
  <c r="Y24" i="10"/>
  <c r="CA24" i="10" l="1"/>
  <c r="CC24" i="10" s="1"/>
  <c r="BB24" i="10"/>
  <c r="CC16" i="10"/>
  <c r="CJ16" i="10"/>
  <c r="CD16" i="10"/>
  <c r="CF16" i="10" s="1"/>
  <c r="AZ20" i="10"/>
  <c r="BF20" i="10"/>
  <c r="BH20" i="10" s="1"/>
  <c r="CA28" i="10"/>
  <c r="BS27" i="10"/>
  <c r="CA26" i="10" s="1"/>
  <c r="BJ16" i="10"/>
  <c r="AO16" i="10"/>
  <c r="AW28" i="10"/>
  <c r="CA20" i="10"/>
  <c r="BS19" i="10"/>
  <c r="CA18" i="10" s="1"/>
  <c r="AV20" i="10"/>
  <c r="AW20" i="10" s="1"/>
  <c r="BF24" i="10"/>
  <c r="BH24" i="10" s="1"/>
  <c r="BB28" i="10"/>
  <c r="BW28" i="10"/>
  <c r="BV28" i="10"/>
  <c r="BF28" i="10"/>
  <c r="BH28" i="10" s="1"/>
  <c r="AS27" i="10"/>
  <c r="BF26" i="10" s="1"/>
  <c r="AU24" i="10"/>
  <c r="AW24" i="10" s="1"/>
  <c r="BW16" i="10"/>
  <c r="BV16" i="10"/>
  <c r="BV24" i="10"/>
  <c r="BW24" i="10"/>
  <c r="BX24" i="10" l="1"/>
  <c r="BX28" i="10"/>
  <c r="CD24" i="10"/>
  <c r="CF24" i="10" s="1"/>
  <c r="BZ24" i="10" s="1"/>
  <c r="CJ24" i="10"/>
  <c r="BX16" i="10"/>
  <c r="BC28" i="10"/>
  <c r="AY28" i="10" s="1"/>
  <c r="BI24" i="10"/>
  <c r="BI28" i="10"/>
  <c r="BI20" i="10"/>
  <c r="BC20" i="10"/>
  <c r="BE20" i="10" s="1"/>
  <c r="BB20" i="10"/>
  <c r="AX20" i="10" s="1"/>
  <c r="CJ20" i="10"/>
  <c r="CD20" i="10"/>
  <c r="CF20" i="10" s="1"/>
  <c r="CC20" i="10"/>
  <c r="BY20" i="10" s="1"/>
  <c r="CJ28" i="10"/>
  <c r="CD28" i="10"/>
  <c r="CF28" i="10" s="1"/>
  <c r="CC28" i="10"/>
  <c r="BC24" i="10"/>
  <c r="BF16" i="10"/>
  <c r="BH16" i="10" s="1"/>
  <c r="AU16" i="10"/>
  <c r="AV16" i="10"/>
  <c r="AZ16" i="10"/>
  <c r="BY24" i="10"/>
  <c r="BY16" i="10"/>
  <c r="BZ16" i="10"/>
  <c r="AY24" i="10"/>
  <c r="BZ28" i="10" l="1"/>
  <c r="BZ20" i="10"/>
  <c r="AY20" i="10"/>
  <c r="BE28" i="10"/>
  <c r="AX28" i="10"/>
  <c r="BY28" i="10"/>
  <c r="AW16" i="10"/>
  <c r="BB16" i="10"/>
  <c r="BI16" i="10"/>
  <c r="BC16" i="10"/>
  <c r="BE16" i="10" s="1"/>
  <c r="BE24" i="10"/>
  <c r="AX24" i="10"/>
  <c r="AX16" i="10" l="1"/>
  <c r="AY16" i="10"/>
  <c r="R15" i="6" l="1"/>
  <c r="R19" i="6"/>
  <c r="R23" i="6"/>
  <c r="R27" i="6"/>
  <c r="AJ28" i="6"/>
  <c r="AM26" i="6" s="1"/>
  <c r="AI28" i="6"/>
  <c r="AE28" i="6"/>
  <c r="Z28" i="6"/>
  <c r="X28" i="6"/>
  <c r="W28" i="6"/>
  <c r="AF28" i="6" s="1"/>
  <c r="V28" i="6"/>
  <c r="AD28" i="6" s="1"/>
  <c r="U28" i="6"/>
  <c r="BD28" i="6" s="1"/>
  <c r="Q27" i="6"/>
  <c r="R26" i="6"/>
  <c r="Q26" i="6"/>
  <c r="AJ24" i="6"/>
  <c r="AM22" i="6" s="1"/>
  <c r="AI24" i="6"/>
  <c r="AE24" i="6"/>
  <c r="Z24" i="6"/>
  <c r="X24" i="6"/>
  <c r="W24" i="6"/>
  <c r="AF24" i="6" s="1"/>
  <c r="V24" i="6"/>
  <c r="AD24" i="6" s="1"/>
  <c r="U24" i="6"/>
  <c r="BD24" i="6" s="1"/>
  <c r="Q23" i="6"/>
  <c r="R22" i="6"/>
  <c r="Q22" i="6"/>
  <c r="AJ20" i="6"/>
  <c r="AM18" i="6" s="1"/>
  <c r="AI20" i="6"/>
  <c r="AE20" i="6"/>
  <c r="Z20" i="6"/>
  <c r="X20" i="6"/>
  <c r="W20" i="6"/>
  <c r="AF20" i="6" s="1"/>
  <c r="V20" i="6"/>
  <c r="AD20" i="6" s="1"/>
  <c r="U20" i="6"/>
  <c r="AC20" i="6" s="1"/>
  <c r="Q19" i="6"/>
  <c r="R18" i="6"/>
  <c r="Q18" i="6"/>
  <c r="W16" i="6"/>
  <c r="X16" i="6"/>
  <c r="V16" i="6"/>
  <c r="R14" i="6"/>
  <c r="R12" i="6"/>
  <c r="AC24" i="6" l="1"/>
  <c r="AC28" i="6"/>
  <c r="BD20" i="6"/>
  <c r="Y24" i="6"/>
  <c r="Y28" i="6"/>
  <c r="AM28" i="6"/>
  <c r="AG28" i="6"/>
  <c r="AM24" i="6"/>
  <c r="AG24" i="6"/>
  <c r="Y20" i="6"/>
  <c r="AM20" i="6"/>
  <c r="AG20" i="6"/>
  <c r="AJ16" i="6"/>
  <c r="AI16" i="6"/>
  <c r="AE16" i="6"/>
  <c r="Z16" i="6"/>
  <c r="U16" i="6"/>
  <c r="BD16" i="6" s="1"/>
  <c r="Q15" i="6"/>
  <c r="AM14" i="6"/>
  <c r="Q14" i="6"/>
  <c r="Q12" i="6"/>
  <c r="Z11" i="6"/>
  <c r="Y11" i="6"/>
  <c r="X11" i="6"/>
  <c r="W11" i="6"/>
  <c r="V11" i="6"/>
  <c r="Q5" i="6"/>
  <c r="P5" i="6"/>
  <c r="AK20" i="6" l="1"/>
  <c r="AK19" i="6" s="1"/>
  <c r="AS18" i="6" s="1"/>
  <c r="AA16" i="6"/>
  <c r="AA20" i="6"/>
  <c r="AA28" i="6"/>
  <c r="AK28" i="6" s="1"/>
  <c r="AK27" i="6" s="1"/>
  <c r="AS26" i="6" s="1"/>
  <c r="AA24" i="6"/>
  <c r="AK24" i="6" s="1"/>
  <c r="AK23" i="6" s="1"/>
  <c r="AS22" i="6" s="1"/>
  <c r="AL20" i="6"/>
  <c r="AL19" i="6" s="1"/>
  <c r="AY18" i="6" s="1"/>
  <c r="AH28" i="6"/>
  <c r="BC28" i="6"/>
  <c r="BC24" i="6"/>
  <c r="AH24" i="6"/>
  <c r="BC20" i="6"/>
  <c r="AH20" i="6"/>
  <c r="AC16" i="6"/>
  <c r="AG16" i="6"/>
  <c r="AK16" i="6"/>
  <c r="AF16" i="6"/>
  <c r="AD16" i="6"/>
  <c r="AL16" i="6"/>
  <c r="AL24" i="6" l="1"/>
  <c r="AL23" i="6" s="1"/>
  <c r="AY22" i="6" s="1"/>
  <c r="AL28" i="6"/>
  <c r="AL27" i="6" s="1"/>
  <c r="AY26" i="6" s="1"/>
  <c r="AO28" i="6"/>
  <c r="AS28" i="6"/>
  <c r="AN28" i="6"/>
  <c r="AO24" i="6"/>
  <c r="AN24" i="6"/>
  <c r="AS24" i="6"/>
  <c r="AN20" i="6"/>
  <c r="AO20" i="6"/>
  <c r="AY20" i="6"/>
  <c r="BA20" i="6" s="1"/>
  <c r="AS20" i="6"/>
  <c r="AL15" i="6"/>
  <c r="AY14" i="6" s="1"/>
  <c r="AK15" i="6"/>
  <c r="AS14" i="6" s="1"/>
  <c r="BC16" i="6"/>
  <c r="AY16" i="6" s="1"/>
  <c r="BA16" i="6" s="1"/>
  <c r="AH16" i="6"/>
  <c r="AM16" i="6"/>
  <c r="Y16" i="6"/>
  <c r="AY28" i="6" l="1"/>
  <c r="BA28" i="6" s="1"/>
  <c r="AY24" i="6"/>
  <c r="BA24" i="6" s="1"/>
  <c r="AP28" i="6"/>
  <c r="AU28" i="6"/>
  <c r="AU24" i="6"/>
  <c r="AP24" i="6"/>
  <c r="AP20" i="6"/>
  <c r="BB20" i="6"/>
  <c r="AV20" i="6"/>
  <c r="AX20" i="6" s="1"/>
  <c r="AU20" i="6"/>
  <c r="AN16" i="6"/>
  <c r="AS16" i="6"/>
  <c r="AO16" i="6"/>
  <c r="AV28" i="6" l="1"/>
  <c r="BB28" i="6"/>
  <c r="BB24" i="6"/>
  <c r="AV24" i="6"/>
  <c r="AX24" i="6" s="1"/>
  <c r="AR28" i="6"/>
  <c r="AR20" i="6"/>
  <c r="AQ20" i="6"/>
  <c r="AP16" i="6"/>
  <c r="BB16" i="6"/>
  <c r="AV16" i="6"/>
  <c r="AX16" i="6" s="1"/>
  <c r="AU16" i="6"/>
  <c r="AX28" i="6" l="1"/>
  <c r="AQ28" i="6"/>
  <c r="AQ24" i="6"/>
  <c r="AR24" i="6"/>
  <c r="AR16" i="6"/>
  <c r="AQ16" i="6"/>
</calcChain>
</file>

<file path=xl/comments1.xml><?xml version="1.0" encoding="utf-8"?>
<comments xmlns="http://schemas.openxmlformats.org/spreadsheetml/2006/main">
  <authors>
    <author>Will Hopkins</author>
    <author>Reviewer</author>
    <author>whopkins</author>
  </authors>
  <commentList>
    <comment ref="P3" authorId="0">
      <text>
        <r>
          <rPr>
            <sz val="8"/>
            <color indexed="81"/>
            <rFont val="Tahoma"/>
            <family val="2"/>
          </rPr>
          <t>These cells are used to get  clinical inferences the right way around.</t>
        </r>
      </text>
    </comment>
    <comment ref="AF7" authorId="1">
      <text>
        <r>
          <rPr>
            <sz val="8"/>
            <color indexed="81"/>
            <rFont val="Tahoma"/>
            <family val="2"/>
          </rPr>
          <t>The chance of harm has to be less than this value for an effect to be clinically beneficial.  That is, the effect can be clinically beneficial only when it is most unlikely to be harmful.</t>
        </r>
      </text>
    </comment>
    <comment ref="AH7" authorId="1">
      <text>
        <r>
          <rPr>
            <sz val="8"/>
            <color indexed="81"/>
            <rFont val="Tahoma"/>
            <family val="2"/>
          </rPr>
          <t>For an effect to be mechanistically clear, the chance that the true effect is substantially positive OR the chance that the true effect is substantially negative has to be less than this value.  That is, the effect is clear when the true effect is either very unlikely to be positive or very unlikely to be negative.</t>
        </r>
      </text>
    </comment>
    <comment ref="AJ7" authorId="1">
      <text>
        <r>
          <rPr>
            <sz val="8"/>
            <color indexed="81"/>
            <rFont val="Tahoma"/>
            <family val="2"/>
          </rPr>
          <t>The chance of benefit has to be greater than this value for an effect to be clinically beneficial.  That is, the effect can be clinically beneficial only when it is at least possibly beneficial.</t>
        </r>
      </text>
    </comment>
    <comment ref="AK13" authorId="0">
      <text>
        <r>
          <rPr>
            <sz val="8"/>
            <color indexed="81"/>
            <rFont val="Tahoma"/>
            <family val="2"/>
          </rPr>
          <t>If these cells show #VALUE! see instructions at top left of spreadsheet.</t>
        </r>
      </text>
    </comment>
    <comment ref="BB14" authorId="2">
      <text>
        <r>
          <rPr>
            <sz val="8"/>
            <color indexed="81"/>
            <rFont val="Tahoma"/>
            <family val="2"/>
          </rPr>
          <t>An unclear clinical effect with odds ratio of benefit/harm ≥66 can be deemed clear, if you want to be less conservative about harm.</t>
        </r>
      </text>
    </comment>
    <comment ref="AK17" authorId="0">
      <text>
        <r>
          <rPr>
            <sz val="8"/>
            <color indexed="81"/>
            <rFont val="Tahoma"/>
            <family val="2"/>
          </rPr>
          <t>If these cells show #VALUE! see instructions at top left of spreadsheet.</t>
        </r>
      </text>
    </comment>
    <comment ref="BB18" authorId="2">
      <text>
        <r>
          <rPr>
            <sz val="8"/>
            <color indexed="81"/>
            <rFont val="Tahoma"/>
            <family val="2"/>
          </rPr>
          <t>An unclear clinical effect with odds ratio of benefit/harm ≥66 can be deemed clear, if you want to be less conservative about harm.</t>
        </r>
      </text>
    </comment>
    <comment ref="AK21" authorId="0">
      <text>
        <r>
          <rPr>
            <sz val="8"/>
            <color indexed="81"/>
            <rFont val="Tahoma"/>
            <family val="2"/>
          </rPr>
          <t>If these cells show #VALUE! see instructions at top left of spreadsheet.</t>
        </r>
      </text>
    </comment>
    <comment ref="BB22" authorId="2">
      <text>
        <r>
          <rPr>
            <sz val="8"/>
            <color indexed="81"/>
            <rFont val="Tahoma"/>
            <family val="2"/>
          </rPr>
          <t>An unclear clinical effect with odds ratio of benefit/harm ≥66 can be deemed clear, if you want to be less conservative about harm.</t>
        </r>
      </text>
    </comment>
    <comment ref="AK25" authorId="0">
      <text>
        <r>
          <rPr>
            <sz val="8"/>
            <color indexed="81"/>
            <rFont val="Tahoma"/>
            <family val="2"/>
          </rPr>
          <t>If these cells show #VALUE! see instructions at top left of spreadsheet.</t>
        </r>
      </text>
    </comment>
    <comment ref="BB26" authorId="2">
      <text>
        <r>
          <rPr>
            <sz val="8"/>
            <color indexed="81"/>
            <rFont val="Tahoma"/>
            <family val="2"/>
          </rPr>
          <t>An unclear clinical effect with odds ratio of benefit/harm ≥66 can be deemed clear, if you want to be less conservative about harm.</t>
        </r>
      </text>
    </comment>
  </commentList>
</comments>
</file>

<file path=xl/comments2.xml><?xml version="1.0" encoding="utf-8"?>
<comments xmlns="http://schemas.openxmlformats.org/spreadsheetml/2006/main">
  <authors>
    <author>Will Hopkins</author>
    <author>Reviewer</author>
    <author>whopkins</author>
  </authors>
  <commentList>
    <comment ref="P3" authorId="0">
      <text>
        <r>
          <rPr>
            <sz val="8"/>
            <color indexed="81"/>
            <rFont val="Tahoma"/>
            <family val="2"/>
          </rPr>
          <t>These cells are used to get  clinical inferences the right way around.</t>
        </r>
      </text>
    </comment>
    <comment ref="AM7" authorId="1">
      <text>
        <r>
          <rPr>
            <sz val="8"/>
            <color indexed="81"/>
            <rFont val="Tahoma"/>
            <family val="2"/>
          </rPr>
          <t>The chance of harm has to be less than this value for an effect to be clinically beneficial.  That is, the effect can be clinically beneficial only when it is most unlikely to be harmful.</t>
        </r>
      </text>
    </comment>
    <comment ref="AO7" authorId="1">
      <text>
        <r>
          <rPr>
            <sz val="8"/>
            <color indexed="81"/>
            <rFont val="Tahoma"/>
            <family val="2"/>
          </rPr>
          <t>For an effect to be mechanistically clear, the chance that the true effect is substantially positive OR the chance that the true effect is substantially negative has to be less than this value.  That is, the effect is clear when the true effect is either very unlikely to be positive or very unlikely to be negative.</t>
        </r>
      </text>
    </comment>
    <comment ref="AQ7" authorId="1">
      <text>
        <r>
          <rPr>
            <sz val="8"/>
            <color indexed="81"/>
            <rFont val="Tahoma"/>
            <family val="2"/>
          </rPr>
          <t>The chance of benefit has to be greater than this value for an effect to be clinically beneficial.  That is, the effect can be clinically beneficial only when it is at least possibly beneficial.</t>
        </r>
      </text>
    </comment>
    <comment ref="AR13" authorId="0">
      <text>
        <r>
          <rPr>
            <sz val="8"/>
            <color indexed="81"/>
            <rFont val="Tahoma"/>
            <family val="2"/>
          </rPr>
          <t>If these cells show #VALUE! see instructions at top left of spreadsheet.</t>
        </r>
      </text>
    </comment>
    <comment ref="BS13" authorId="0">
      <text>
        <r>
          <rPr>
            <sz val="8"/>
            <color indexed="81"/>
            <rFont val="Tahoma"/>
            <family val="2"/>
          </rPr>
          <t>If these cells show #VALUE! see instructions at top left of spreadsheet.</t>
        </r>
      </text>
    </comment>
    <comment ref="BI14" authorId="2">
      <text>
        <r>
          <rPr>
            <sz val="8"/>
            <color indexed="81"/>
            <rFont val="Tahoma"/>
            <family val="2"/>
          </rPr>
          <t>An unclear clinical effect with odds ratio of benefit/harm ≥66 can be deemed clear, if you want to be less conservative about harm.</t>
        </r>
      </text>
    </comment>
    <comment ref="CJ14" authorId="2">
      <text>
        <r>
          <rPr>
            <sz val="8"/>
            <color indexed="81"/>
            <rFont val="Tahoma"/>
            <family val="2"/>
          </rPr>
          <t>An unclear clinical effect with odds ratio of benefit/harm ≥66 can be deemed clear, if you want to be less conservative about harm.</t>
        </r>
      </text>
    </comment>
    <comment ref="W15" authorId="0">
      <text>
        <r>
          <rPr>
            <sz val="8"/>
            <color indexed="81"/>
            <rFont val="Tahoma"/>
            <family val="2"/>
          </rPr>
          <t>via applicaton of t value to the estimate, assuming the estimate is log-normally distributed.</t>
        </r>
      </text>
    </comment>
    <comment ref="X15" authorId="0">
      <text>
        <r>
          <rPr>
            <sz val="8"/>
            <color indexed="81"/>
            <rFont val="Tahoma"/>
            <family val="2"/>
          </rPr>
          <t>via applicaton of t value to the estimate, assuming the estimate is log-normally distributed.</t>
        </r>
      </text>
    </comment>
    <comment ref="AR17" authorId="0">
      <text>
        <r>
          <rPr>
            <sz val="8"/>
            <color indexed="81"/>
            <rFont val="Tahoma"/>
            <family val="2"/>
          </rPr>
          <t>If these cells show #VALUE! see instructions at top left of spreadsheet.</t>
        </r>
      </text>
    </comment>
    <comment ref="BS17" authorId="0">
      <text>
        <r>
          <rPr>
            <sz val="8"/>
            <color indexed="81"/>
            <rFont val="Tahoma"/>
            <family val="2"/>
          </rPr>
          <t>If these cells show #VALUE! see instructions at top left of spreadsheet.</t>
        </r>
      </text>
    </comment>
    <comment ref="BI18" authorId="2">
      <text>
        <r>
          <rPr>
            <sz val="8"/>
            <color indexed="81"/>
            <rFont val="Tahoma"/>
            <family val="2"/>
          </rPr>
          <t>An unclear clinical effect with odds ratio of benefit/harm ≥66 can be deemed clear, if you want to be less conservative about harm.</t>
        </r>
      </text>
    </comment>
    <comment ref="CJ18" authorId="2">
      <text>
        <r>
          <rPr>
            <sz val="8"/>
            <color indexed="81"/>
            <rFont val="Tahoma"/>
            <family val="2"/>
          </rPr>
          <t>An unclear clinical effect with odds ratio of benefit/harm ≥66 can be deemed clear, if you want to be less conservative about harm.</t>
        </r>
      </text>
    </comment>
    <comment ref="W19" authorId="0">
      <text>
        <r>
          <rPr>
            <sz val="8"/>
            <color indexed="81"/>
            <rFont val="Tahoma"/>
            <family val="2"/>
          </rPr>
          <t>via applicaton of t value to the estimate, assuming the estimate is log-normally distributed.</t>
        </r>
      </text>
    </comment>
    <comment ref="X19" authorId="0">
      <text>
        <r>
          <rPr>
            <sz val="8"/>
            <color indexed="81"/>
            <rFont val="Tahoma"/>
            <family val="2"/>
          </rPr>
          <t>via applicaton of t value to the estimate, assuming the estimate is log-normally distributed.</t>
        </r>
      </text>
    </comment>
    <comment ref="AR21" authorId="0">
      <text>
        <r>
          <rPr>
            <sz val="8"/>
            <color indexed="81"/>
            <rFont val="Tahoma"/>
            <family val="2"/>
          </rPr>
          <t>If these cells show #VALUE! see instructions at top left of spreadsheet.</t>
        </r>
      </text>
    </comment>
    <comment ref="BS21" authorId="0">
      <text>
        <r>
          <rPr>
            <sz val="8"/>
            <color indexed="81"/>
            <rFont val="Tahoma"/>
            <family val="2"/>
          </rPr>
          <t>If these cells show #VALUE! see instructions at top left of spreadsheet.</t>
        </r>
      </text>
    </comment>
    <comment ref="BI22" authorId="2">
      <text>
        <r>
          <rPr>
            <sz val="8"/>
            <color indexed="81"/>
            <rFont val="Tahoma"/>
            <family val="2"/>
          </rPr>
          <t>An unclear clinical effect with odds ratio of benefit/harm ≥66 can be deemed clear, if you want to be less conservative about harm.</t>
        </r>
      </text>
    </comment>
    <comment ref="CJ22" authorId="2">
      <text>
        <r>
          <rPr>
            <sz val="8"/>
            <color indexed="81"/>
            <rFont val="Tahoma"/>
            <family val="2"/>
          </rPr>
          <t>An unclear clinical effect with odds ratio of benefit/harm ≥66 can be deemed clear, if you want to be less conservative about harm.</t>
        </r>
      </text>
    </comment>
    <comment ref="W23" authorId="0">
      <text>
        <r>
          <rPr>
            <sz val="8"/>
            <color indexed="81"/>
            <rFont val="Tahoma"/>
            <family val="2"/>
          </rPr>
          <t>via applicaton of t value to the estimate, assuming the estimate is log-normally distributed.</t>
        </r>
      </text>
    </comment>
    <comment ref="X23" authorId="0">
      <text>
        <r>
          <rPr>
            <sz val="8"/>
            <color indexed="81"/>
            <rFont val="Tahoma"/>
            <family val="2"/>
          </rPr>
          <t>via applicaton of t value to the estimate, assuming the estimate is log-normally distributed.</t>
        </r>
      </text>
    </comment>
    <comment ref="AR25" authorId="0">
      <text>
        <r>
          <rPr>
            <sz val="8"/>
            <color indexed="81"/>
            <rFont val="Tahoma"/>
            <family val="2"/>
          </rPr>
          <t>If these cells show #VALUE! see instructions at top left of spreadsheet.</t>
        </r>
      </text>
    </comment>
    <comment ref="BS25" authorId="0">
      <text>
        <r>
          <rPr>
            <sz val="8"/>
            <color indexed="81"/>
            <rFont val="Tahoma"/>
            <family val="2"/>
          </rPr>
          <t>If these cells show #VALUE! see instructions at top left of spreadsheet.</t>
        </r>
      </text>
    </comment>
    <comment ref="BI26" authorId="2">
      <text>
        <r>
          <rPr>
            <sz val="8"/>
            <color indexed="81"/>
            <rFont val="Tahoma"/>
            <family val="2"/>
          </rPr>
          <t>An unclear clinical effect with odds ratio of benefit/harm ≥66 can be deemed clear, if you want to be less conservative about harm.</t>
        </r>
      </text>
    </comment>
    <comment ref="CJ26" authorId="2">
      <text>
        <r>
          <rPr>
            <sz val="8"/>
            <color indexed="81"/>
            <rFont val="Tahoma"/>
            <family val="2"/>
          </rPr>
          <t>An unclear clinical effect with odds ratio of benefit/harm ≥66 can be deemed clear, if you want to be less conservative about harm.</t>
        </r>
      </text>
    </comment>
    <comment ref="W27" authorId="0">
      <text>
        <r>
          <rPr>
            <sz val="8"/>
            <color indexed="81"/>
            <rFont val="Tahoma"/>
            <family val="2"/>
          </rPr>
          <t>via applicaton of t value to the estimate, assuming the estimate is log-normally distributed.</t>
        </r>
      </text>
    </comment>
    <comment ref="X27" authorId="0">
      <text>
        <r>
          <rPr>
            <sz val="8"/>
            <color indexed="81"/>
            <rFont val="Tahoma"/>
            <family val="2"/>
          </rPr>
          <t>via applicaton of t value to the estimate, assuming the estimate is log-normally distributed.</t>
        </r>
      </text>
    </comment>
  </commentList>
</comments>
</file>

<file path=xl/sharedStrings.xml><?xml version="1.0" encoding="utf-8"?>
<sst xmlns="http://schemas.openxmlformats.org/spreadsheetml/2006/main" count="681" uniqueCount="111">
  <si>
    <t>These columns are for magnitudes via proportion ratios.</t>
  </si>
  <si>
    <t>These columns are for analyses of matches won.</t>
  </si>
  <si>
    <t>Benefit is</t>
  </si>
  <si>
    <t>Report the values of the estimates and CLs,</t>
  </si>
  <si>
    <t>These cells are used to derive magnitude-based inferences.</t>
  </si>
  <si>
    <t>a decrease</t>
  </si>
  <si>
    <t>an increase</t>
  </si>
  <si>
    <t>which are extra matches won per 10 close matches.</t>
  </si>
  <si>
    <r>
      <t xml:space="preserve">They were adapted from the spreadsheet </t>
    </r>
    <r>
      <rPr>
        <b/>
        <sz val="11"/>
        <color rgb="FFCC0000"/>
        <rFont val="Calibri"/>
        <family val="2"/>
        <scheme val="minor"/>
      </rPr>
      <t>Combine/compare effects</t>
    </r>
    <r>
      <rPr>
        <sz val="11"/>
        <color rgb="FFCC0000"/>
        <rFont val="Calibri"/>
        <family val="2"/>
        <scheme val="minor"/>
      </rPr>
      <t xml:space="preserve"> at Sportscience.</t>
    </r>
  </si>
  <si>
    <t>For clinical or practical inferences</t>
  </si>
  <si>
    <r>
      <t xml:space="preserve">is beneficial.  </t>
    </r>
    <r>
      <rPr>
        <b/>
        <sz val="11"/>
        <color rgb="FFCC0000"/>
        <rFont val="Calibri"/>
        <family val="2"/>
        <scheme val="minor"/>
      </rPr>
      <t>Delete one</t>
    </r>
    <r>
      <rPr>
        <sz val="11"/>
        <color rgb="FFCC0000"/>
        <rFont val="Calibri"/>
        <family val="2"/>
        <scheme val="minor"/>
      </rPr>
      <t>. For non-clinical or mechanistic inferences, delete either.</t>
    </r>
  </si>
  <si>
    <r>
      <t xml:space="preserve">Report either the lower and upper CLs or the </t>
    </r>
    <r>
      <rPr>
        <sz val="11"/>
        <color rgb="FFCC0000"/>
        <rFont val="Symbol"/>
        <family val="1"/>
        <charset val="2"/>
      </rPr>
      <t>~´/</t>
    </r>
    <r>
      <rPr>
        <sz val="9.35"/>
        <color rgb="FFCC0000"/>
        <rFont val="Symbol"/>
        <family val="1"/>
        <charset val="2"/>
      </rPr>
      <t>¸</t>
    </r>
    <r>
      <rPr>
        <sz val="11"/>
        <color rgb="FFCC0000"/>
        <rFont val="Calibri"/>
        <family val="2"/>
        <scheme val="minor"/>
      </rPr>
      <t>CL.</t>
    </r>
  </si>
  <si>
    <t>Report either the lower and upper CLs or the ±CL.</t>
  </si>
  <si>
    <t>Magnitude-based inferences (MBIs) appear much further over on the right.</t>
  </si>
  <si>
    <t>most unlikely</t>
  </si>
  <si>
    <t>very unlikely</t>
  </si>
  <si>
    <t>unlikely</t>
  </si>
  <si>
    <t>possibly</t>
  </si>
  <si>
    <t>likely</t>
  </si>
  <si>
    <t>very likely</t>
  </si>
  <si>
    <t>most likely</t>
  </si>
  <si>
    <t>Estimate</t>
  </si>
  <si>
    <t>Standard</t>
  </si>
  <si>
    <t>small</t>
  </si>
  <si>
    <t>moderate</t>
  </si>
  <si>
    <t>large</t>
  </si>
  <si>
    <t>v.large</t>
  </si>
  <si>
    <t>x.large</t>
  </si>
  <si>
    <t>Error</t>
  </si>
  <si>
    <t>decrease</t>
  </si>
  <si>
    <t>increase</t>
  </si>
  <si>
    <t>Inference for magnitudes defined by proportion ratios</t>
  </si>
  <si>
    <t>Thresholds for</t>
  </si>
  <si>
    <t>Effect, confidence limits &amp; inference for proportion ratios</t>
  </si>
  <si>
    <t>Chances that the true value of the effect statistic is…</t>
  </si>
  <si>
    <t>Win/lose analysis</t>
  </si>
  <si>
    <t>Effect, confidence limits &amp; inference for extra matches per 10 close matches</t>
  </si>
  <si>
    <t>Report ratio and CLs, but not for analysis of wins.</t>
  </si>
  <si>
    <t>Value of ratio</t>
  </si>
  <si>
    <t>Deg. of freedom</t>
  </si>
  <si>
    <t>Confidence limits</t>
  </si>
  <si>
    <t>Conf. level (%)</t>
  </si>
  <si>
    <t>benefit or</t>
  </si>
  <si>
    <t>harm or</t>
  </si>
  <si>
    <t>Inference</t>
  </si>
  <si>
    <t>...negligible or
trivial</t>
  </si>
  <si>
    <t>Value of effect</t>
  </si>
  <si>
    <t>Lower</t>
  </si>
  <si>
    <t>Upper</t>
  </si>
  <si>
    <t>Alpha</t>
  </si>
  <si>
    <t>small-</t>
  </si>
  <si>
    <t>small+</t>
  </si>
  <si>
    <t>given</t>
  </si>
  <si>
    <t>wanted</t>
  </si>
  <si>
    <t>Effect</t>
  </si>
  <si>
    <t>Clinical</t>
  </si>
  <si>
    <t>Non-clinical</t>
  </si>
  <si>
    <t>SE</t>
  </si>
  <si>
    <t>%</t>
  </si>
  <si>
    <t>Estimates</t>
  </si>
  <si>
    <t>Label</t>
  </si>
  <si>
    <t>DF</t>
  </si>
  <si>
    <t>t Value</t>
  </si>
  <si>
    <t>Pr &gt; |t|</t>
  </si>
  <si>
    <t>Exponentiated</t>
  </si>
  <si>
    <t>Means as proportions</t>
  </si>
  <si>
    <t>.</t>
  </si>
  <si>
    <t>Estimates as proportion ratio</t>
  </si>
  <si>
    <t>Estimates as extra matches won</t>
  </si>
  <si>
    <t>Report difference and CLs only for analysis of matches won.</t>
  </si>
  <si>
    <t>Odds ratio benefit/harm</t>
  </si>
  <si>
    <r>
      <t xml:space="preserve">or </t>
    </r>
    <r>
      <rPr>
        <sz val="11"/>
        <color rgb="FFCC0000"/>
        <rFont val="Symbol"/>
        <family val="1"/>
        <charset val="2"/>
      </rPr>
      <t>´/¸</t>
    </r>
    <r>
      <rPr>
        <sz val="11"/>
        <color rgb="FFCC0000"/>
        <rFont val="Calibri"/>
        <family val="2"/>
      </rPr>
      <t>CL</t>
    </r>
  </si>
  <si>
    <t>or ±CL</t>
  </si>
  <si>
    <t>lower</t>
  </si>
  <si>
    <t>upper</t>
  </si>
  <si>
    <r>
      <rPr>
        <sz val="10"/>
        <rFont val="Symbol"/>
        <family val="1"/>
        <charset val="2"/>
      </rPr>
      <t>´/¸</t>
    </r>
    <r>
      <rPr>
        <sz val="9"/>
        <rFont val="Arial"/>
        <family val="2"/>
      </rPr>
      <t>CL</t>
    </r>
  </si>
  <si>
    <t xml:space="preserve">lower </t>
  </si>
  <si>
    <t xml:space="preserve">upper </t>
  </si>
  <si>
    <t>±CL</t>
  </si>
  <si>
    <t>PROPORTIONS</t>
  </si>
  <si>
    <r>
      <t>Paste data from your analyses into this spreadsheet to replace data</t>
    </r>
    <r>
      <rPr>
        <b/>
        <sz val="11"/>
        <rFont val="Calibri"/>
        <family val="2"/>
        <scheme val="minor"/>
      </rPr>
      <t xml:space="preserve"> in black</t>
    </r>
    <r>
      <rPr>
        <sz val="11"/>
        <color rgb="FFC00000"/>
        <rFont val="Calibri"/>
        <family val="2"/>
        <scheme val="minor"/>
      </rPr>
      <t>.</t>
    </r>
  </si>
  <si>
    <t>HAZARDS</t>
  </si>
  <si>
    <t>&lt;.0001</t>
  </si>
  <si>
    <t>The means below are hazards; the others are hazard ratios.</t>
  </si>
  <si>
    <t>Estimates as hazard ratio</t>
  </si>
  <si>
    <t>blank</t>
  </si>
  <si>
    <t>Inference for magnitudes defined by hazard ratios</t>
  </si>
  <si>
    <t>Effect, confidence limits &amp; inference for hazard ratios</t>
  </si>
  <si>
    <t>Overall mean</t>
  </si>
  <si>
    <t>Control mean @ -1SD BaseTrain</t>
  </si>
  <si>
    <t>Control mean @ +1SD BaseTrain</t>
  </si>
  <si>
    <t>Control +1SD/-1SD BaseTrain</t>
  </si>
  <si>
    <t>Exptal mean @ -1SD BaseTrain</t>
  </si>
  <si>
    <t>Exptal mean @ +1SD BaseTrain</t>
  </si>
  <si>
    <t>Exptal +1SD/-1SD BaseTrain</t>
  </si>
  <si>
    <t>Exptal/Control +1SD/-1SD BaseTrain</t>
  </si>
  <si>
    <t>Means as "event time" (=1/hazard)</t>
  </si>
  <si>
    <t>Report ratio and CLs</t>
  </si>
  <si>
    <t>Control mean</t>
  </si>
  <si>
    <t>Exptal mean</t>
  </si>
  <si>
    <t>Exptal/Control mean</t>
  </si>
  <si>
    <t>Magnitude thresholds for estimates as proportion ratios</t>
  </si>
  <si>
    <t>Magnitude thresholds for estimates as hazard ratios</t>
  </si>
  <si>
    <t>Magnitude-based inferences (MBIs) appear further over on the right.</t>
  </si>
  <si>
    <t>Exptal/Control mean BaseTrain reference</t>
  </si>
  <si>
    <r>
      <t xml:space="preserve">Report either the lower and upper CLs or the </t>
    </r>
    <r>
      <rPr>
        <sz val="11"/>
        <color rgb="FFCC0000"/>
        <rFont val="Symbol"/>
        <family val="1"/>
        <charset val="2"/>
      </rPr>
      <t>´/</t>
    </r>
    <r>
      <rPr>
        <sz val="9.35"/>
        <color rgb="FFCC0000"/>
        <rFont val="Symbol"/>
        <family val="1"/>
        <charset val="2"/>
      </rPr>
      <t>¸</t>
    </r>
    <r>
      <rPr>
        <sz val="11"/>
        <color rgb="FFCC0000"/>
        <rFont val="Calibri"/>
        <family val="2"/>
        <scheme val="minor"/>
      </rPr>
      <t>CL.</t>
    </r>
  </si>
  <si>
    <t>Do not report proportion ratios for analysis of matches won.</t>
  </si>
  <si>
    <t>Magnitude thresholds for extra matches won</t>
  </si>
  <si>
    <t>If you have more estimates, copy the above four rows and insert copied cells.  Repeat if necessary.</t>
  </si>
  <si>
    <t>Then paste in the data from SAS.</t>
  </si>
  <si>
    <t>The means below are odds; the others are odds ratios.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</si>
</sst>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3" x14ac:knownFonts="1">
    <font>
      <sz val="11"/>
      <color theme="1"/>
      <name val="Calibri"/>
      <family val="2"/>
      <scheme val="minor"/>
    </font>
    <font>
      <b/>
      <sz val="11"/>
      <color theme="1"/>
      <name val="Calibri"/>
      <family val="2"/>
      <scheme val="minor"/>
    </font>
    <font>
      <b/>
      <sz val="11"/>
      <color rgb="FFC00000"/>
      <name val="Calibri"/>
      <family val="2"/>
      <scheme val="minor"/>
    </font>
    <font>
      <sz val="11"/>
      <color rgb="FFC00000"/>
      <name val="Calibri"/>
      <family val="2"/>
      <scheme val="minor"/>
    </font>
    <font>
      <b/>
      <sz val="11"/>
      <color rgb="FFCC0000"/>
      <name val="Calibri"/>
      <family val="2"/>
      <scheme val="minor"/>
    </font>
    <font>
      <sz val="11"/>
      <color rgb="FFCC0000"/>
      <name val="Calibri"/>
      <family val="2"/>
      <scheme val="minor"/>
    </font>
    <font>
      <sz val="10"/>
      <color rgb="FFCC0000"/>
      <name val="Calibri"/>
      <family val="2"/>
      <scheme val="minor"/>
    </font>
    <font>
      <b/>
      <sz val="11"/>
      <color rgb="FF0000FF"/>
      <name val="Calibri"/>
      <family val="2"/>
      <scheme val="minor"/>
    </font>
    <font>
      <sz val="11"/>
      <color rgb="FFCC0000"/>
      <name val="Symbol"/>
      <family val="1"/>
      <charset val="2"/>
    </font>
    <font>
      <sz val="9.35"/>
      <color rgb="FFCC0000"/>
      <name val="Symbol"/>
      <family val="1"/>
      <charset val="2"/>
    </font>
    <font>
      <sz val="10"/>
      <name val="Arial"/>
      <family val="2"/>
    </font>
    <font>
      <sz val="9"/>
      <name val="Arial"/>
      <family val="2"/>
    </font>
    <font>
      <b/>
      <sz val="10"/>
      <color indexed="12"/>
      <name val="Arial"/>
      <family val="2"/>
    </font>
    <font>
      <sz val="10"/>
      <color indexed="61"/>
      <name val="Arial"/>
      <family val="2"/>
    </font>
    <font>
      <b/>
      <sz val="11"/>
      <name val="Arial"/>
      <family val="2"/>
    </font>
    <font>
      <b/>
      <sz val="10"/>
      <name val="Arial"/>
      <family val="2"/>
    </font>
    <font>
      <sz val="10"/>
      <color indexed="20"/>
      <name val="Arial"/>
      <family val="2"/>
    </font>
    <font>
      <sz val="10"/>
      <color indexed="18"/>
      <name val="Arial"/>
      <family val="2"/>
    </font>
    <font>
      <sz val="10"/>
      <color indexed="63"/>
      <name val="Arial"/>
      <family val="2"/>
    </font>
    <font>
      <sz val="11"/>
      <color rgb="FFCC0000"/>
      <name val="Calibri"/>
      <family val="2"/>
    </font>
    <font>
      <sz val="10"/>
      <name val="Symbol"/>
      <family val="1"/>
      <charset val="2"/>
    </font>
    <font>
      <sz val="8"/>
      <color indexed="23"/>
      <name val="Arial"/>
      <family val="2"/>
    </font>
    <font>
      <b/>
      <sz val="10"/>
      <color rgb="FFCC0000"/>
      <name val="Arial"/>
      <family val="2"/>
    </font>
    <font>
      <sz val="10"/>
      <color rgb="FFCC0000"/>
      <name val="Arial"/>
      <family val="2"/>
    </font>
    <font>
      <b/>
      <sz val="10"/>
      <color indexed="61"/>
      <name val="Arial"/>
      <family val="2"/>
    </font>
    <font>
      <b/>
      <sz val="10"/>
      <color indexed="10"/>
      <name val="Arial"/>
      <family val="2"/>
    </font>
    <font>
      <b/>
      <sz val="8"/>
      <color indexed="10"/>
      <name val="Arial"/>
      <family val="2"/>
    </font>
    <font>
      <sz val="8"/>
      <color indexed="10"/>
      <name val="Arial"/>
      <family val="2"/>
    </font>
    <font>
      <sz val="10"/>
      <color indexed="10"/>
      <name val="Arial"/>
      <family val="2"/>
    </font>
    <font>
      <sz val="10"/>
      <color indexed="23"/>
      <name val="Arial"/>
      <family val="2"/>
    </font>
    <font>
      <b/>
      <sz val="10"/>
      <color theme="1"/>
      <name val="Calibri"/>
      <family val="2"/>
      <scheme val="minor"/>
    </font>
    <font>
      <sz val="8"/>
      <color indexed="81"/>
      <name val="Tahoma"/>
      <family val="2"/>
    </font>
    <font>
      <b/>
      <sz val="1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indexed="22"/>
        <bgColor indexed="64"/>
      </patternFill>
    </fill>
    <fill>
      <patternFill patternType="solid">
        <fgColor indexed="9"/>
        <bgColor indexed="64"/>
      </patternFill>
    </fill>
    <fill>
      <patternFill patternType="solid">
        <fgColor indexed="4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s>
  <cellStyleXfs count="1">
    <xf numFmtId="0" fontId="0" fillId="0" borderId="0"/>
  </cellStyleXfs>
  <cellXfs count="129">
    <xf numFmtId="0" fontId="0" fillId="0" borderId="0" xfId="0"/>
    <xf numFmtId="0" fontId="2" fillId="0" borderId="0" xfId="0" applyFont="1"/>
    <xf numFmtId="0" fontId="3" fillId="0" borderId="0" xfId="0" applyFont="1"/>
    <xf numFmtId="0" fontId="4" fillId="0" borderId="0" xfId="0" applyFont="1" applyAlignment="1">
      <alignment horizontal="center"/>
    </xf>
    <xf numFmtId="0" fontId="5" fillId="0" borderId="0" xfId="0" applyFont="1"/>
    <xf numFmtId="0" fontId="5" fillId="0" borderId="0" xfId="0" applyFont="1" applyAlignment="1">
      <alignment horizontal="center"/>
    </xf>
    <xf numFmtId="0" fontId="5" fillId="0" borderId="0" xfId="0" applyFont="1" applyAlignment="1">
      <alignment horizontal="right"/>
    </xf>
    <xf numFmtId="164" fontId="7" fillId="2" borderId="1" xfId="0" applyNumberFormat="1" applyFont="1" applyFill="1" applyBorder="1" applyAlignment="1">
      <alignment horizontal="center"/>
    </xf>
    <xf numFmtId="0" fontId="6" fillId="0" borderId="2" xfId="0" applyFont="1" applyBorder="1" applyAlignment="1">
      <alignment horizontal="right"/>
    </xf>
    <xf numFmtId="0" fontId="6" fillId="0" borderId="2" xfId="0" applyFont="1" applyBorder="1" applyAlignment="1">
      <alignment horizontal="left"/>
    </xf>
    <xf numFmtId="0" fontId="0" fillId="0" borderId="0" xfId="0" applyAlignment="1">
      <alignment horizontal="right"/>
    </xf>
    <xf numFmtId="0" fontId="5" fillId="0" borderId="0" xfId="0" applyFont="1" applyBorder="1" applyAlignment="1">
      <alignment horizontal="center"/>
    </xf>
    <xf numFmtId="164" fontId="0" fillId="0" borderId="0" xfId="0" applyNumberFormat="1" applyAlignment="1">
      <alignment horizontal="right"/>
    </xf>
    <xf numFmtId="0" fontId="10"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 fillId="0" borderId="0" xfId="0" applyFont="1" applyAlignment="1">
      <alignment horizontal="center" vertical="center" wrapText="1"/>
    </xf>
    <xf numFmtId="0" fontId="4" fillId="0" borderId="0" xfId="0" applyFont="1"/>
    <xf numFmtId="0" fontId="5" fillId="0" borderId="2" xfId="0" applyFont="1" applyBorder="1"/>
    <xf numFmtId="0" fontId="5" fillId="0" borderId="2" xfId="0" applyFont="1" applyBorder="1" applyAlignment="1">
      <alignment horizontal="center"/>
    </xf>
    <xf numFmtId="0" fontId="4" fillId="0" borderId="0" xfId="0" applyFont="1" applyAlignment="1">
      <alignment horizontal="right"/>
    </xf>
    <xf numFmtId="2" fontId="5" fillId="0" borderId="0" xfId="0" applyNumberFormat="1" applyFont="1" applyAlignment="1">
      <alignment horizontal="center"/>
    </xf>
    <xf numFmtId="164" fontId="5" fillId="0" borderId="0" xfId="0" applyNumberFormat="1" applyFont="1" applyAlignment="1">
      <alignment horizontal="center"/>
    </xf>
    <xf numFmtId="0" fontId="4" fillId="0" borderId="0" xfId="0" applyFont="1" applyAlignment="1">
      <alignment horizontal="left"/>
    </xf>
    <xf numFmtId="0" fontId="0" fillId="0" borderId="0" xfId="0" applyAlignment="1">
      <alignment vertical="center" wrapText="1"/>
    </xf>
    <xf numFmtId="0" fontId="0" fillId="0" borderId="0" xfId="0" applyAlignment="1">
      <alignment vertical="center"/>
    </xf>
    <xf numFmtId="0" fontId="1" fillId="0" borderId="0" xfId="0" applyFont="1" applyAlignment="1">
      <alignment horizontal="right" vertical="center"/>
    </xf>
    <xf numFmtId="2" fontId="0" fillId="0" borderId="0" xfId="0" applyNumberFormat="1" applyAlignment="1">
      <alignment horizontal="center"/>
    </xf>
    <xf numFmtId="2" fontId="3" fillId="0" borderId="0" xfId="0" applyNumberFormat="1" applyFont="1" applyFill="1" applyAlignment="1">
      <alignment horizontal="center"/>
    </xf>
    <xf numFmtId="0" fontId="5" fillId="0" borderId="0" xfId="0" applyFont="1" applyBorder="1"/>
    <xf numFmtId="0" fontId="4" fillId="0" borderId="0" xfId="0" applyFont="1" applyBorder="1" applyAlignment="1">
      <alignment horizontal="center"/>
    </xf>
    <xf numFmtId="0" fontId="0" fillId="0" borderId="0" xfId="0" applyBorder="1"/>
    <xf numFmtId="0" fontId="16" fillId="3" borderId="6" xfId="0" applyFont="1" applyFill="1" applyBorder="1" applyAlignment="1">
      <alignment horizontal="center" wrapText="1"/>
    </xf>
    <xf numFmtId="0" fontId="17" fillId="3" borderId="6" xfId="0" applyFont="1" applyFill="1" applyBorder="1" applyAlignment="1">
      <alignment horizontal="center" wrapText="1"/>
    </xf>
    <xf numFmtId="0" fontId="5" fillId="0" borderId="2" xfId="0" applyFont="1" applyBorder="1" applyAlignment="1">
      <alignment horizontal="center" vertical="center" wrapText="1"/>
    </xf>
    <xf numFmtId="0" fontId="19" fillId="0" borderId="2" xfId="0" applyFont="1" applyBorder="1" applyAlignment="1">
      <alignment horizontal="center" vertical="center" wrapText="1"/>
    </xf>
    <xf numFmtId="2" fontId="5" fillId="0" borderId="2" xfId="0" applyNumberFormat="1" applyFont="1" applyBorder="1" applyAlignment="1">
      <alignment horizontal="center" vertical="center" wrapText="1"/>
    </xf>
    <xf numFmtId="0" fontId="11" fillId="3" borderId="3" xfId="0" applyFont="1" applyFill="1" applyBorder="1" applyAlignment="1">
      <alignment horizontal="center" wrapText="1"/>
    </xf>
    <xf numFmtId="0" fontId="11" fillId="3" borderId="4" xfId="0" applyFont="1" applyFill="1" applyBorder="1" applyAlignment="1">
      <alignment horizontal="center" wrapText="1"/>
    </xf>
    <xf numFmtId="0" fontId="10" fillId="3" borderId="1" xfId="0" applyFont="1" applyFill="1" applyBorder="1" applyAlignment="1">
      <alignment horizontal="center"/>
    </xf>
    <xf numFmtId="0" fontId="11" fillId="3" borderId="5" xfId="0" applyFont="1" applyFill="1" applyBorder="1" applyAlignment="1">
      <alignment horizontal="center" wrapText="1"/>
    </xf>
    <xf numFmtId="0" fontId="11" fillId="3" borderId="1" xfId="0" applyFont="1" applyFill="1" applyBorder="1" applyAlignment="1">
      <alignment horizontal="center" wrapText="1"/>
    </xf>
    <xf numFmtId="0" fontId="16" fillId="3" borderId="11" xfId="0" applyFont="1" applyFill="1" applyBorder="1" applyAlignment="1">
      <alignment horizontal="center"/>
    </xf>
    <xf numFmtId="0" fontId="17" fillId="3" borderId="11" xfId="0" applyFont="1" applyFill="1" applyBorder="1" applyAlignment="1">
      <alignment horizontal="center"/>
    </xf>
    <xf numFmtId="0" fontId="10" fillId="3" borderId="3" xfId="0" applyFont="1" applyFill="1" applyBorder="1" applyAlignment="1">
      <alignment horizontal="center"/>
    </xf>
    <xf numFmtId="0" fontId="10" fillId="3" borderId="11" xfId="0" applyFont="1" applyFill="1" applyBorder="1" applyAlignment="1">
      <alignment horizontal="center"/>
    </xf>
    <xf numFmtId="0" fontId="11" fillId="3" borderId="11" xfId="0" applyFont="1" applyFill="1" applyBorder="1" applyAlignment="1">
      <alignment horizontal="center" wrapText="1"/>
    </xf>
    <xf numFmtId="0" fontId="21" fillId="0" borderId="1" xfId="0" applyFont="1" applyBorder="1" applyAlignment="1">
      <alignment horizontal="center"/>
    </xf>
    <xf numFmtId="0" fontId="21" fillId="0" borderId="1" xfId="0" applyFont="1" applyBorder="1" applyAlignment="1">
      <alignment horizontal="centerContinuous"/>
    </xf>
    <xf numFmtId="0" fontId="4" fillId="0" borderId="0" xfId="0" applyFont="1" applyAlignment="1">
      <alignment horizontal="center" vertical="center" wrapText="1"/>
    </xf>
    <xf numFmtId="2" fontId="4" fillId="0" borderId="0" xfId="0" applyNumberFormat="1" applyFont="1" applyAlignment="1">
      <alignment horizontal="center"/>
    </xf>
    <xf numFmtId="164" fontId="4" fillId="0" borderId="0" xfId="0" applyNumberFormat="1" applyFont="1" applyAlignment="1">
      <alignment horizontal="center"/>
    </xf>
    <xf numFmtId="2" fontId="22" fillId="4" borderId="1" xfId="0" applyNumberFormat="1" applyFont="1" applyFill="1" applyBorder="1" applyAlignment="1">
      <alignment horizontal="center" vertical="center"/>
    </xf>
    <xf numFmtId="0" fontId="23" fillId="4" borderId="1" xfId="0" applyNumberFormat="1" applyFont="1" applyFill="1" applyBorder="1" applyAlignment="1">
      <alignment horizontal="center" vertical="center"/>
    </xf>
    <xf numFmtId="0" fontId="22" fillId="4" borderId="1" xfId="0" applyNumberFormat="1" applyFont="1" applyFill="1" applyBorder="1" applyAlignment="1">
      <alignment horizontal="center" vertical="center"/>
    </xf>
    <xf numFmtId="0" fontId="24" fillId="4" borderId="1" xfId="0" applyNumberFormat="1" applyFont="1" applyFill="1" applyBorder="1" applyAlignment="1">
      <alignment horizontal="center" vertical="center"/>
    </xf>
    <xf numFmtId="0" fontId="26" fillId="5" borderId="1" xfId="0" applyFont="1" applyFill="1" applyBorder="1" applyAlignment="1">
      <alignment horizontal="center" vertical="center"/>
    </xf>
    <xf numFmtId="164" fontId="25" fillId="5" borderId="3" xfId="0" applyNumberFormat="1" applyFont="1" applyFill="1" applyBorder="1" applyAlignment="1">
      <alignment horizontal="right" vertical="center"/>
    </xf>
    <xf numFmtId="164" fontId="25" fillId="5" borderId="4" xfId="0" applyNumberFormat="1" applyFont="1" applyFill="1" applyBorder="1" applyAlignment="1">
      <alignment horizontal="left" vertical="center"/>
    </xf>
    <xf numFmtId="1" fontId="27" fillId="5" borderId="5" xfId="0" applyNumberFormat="1" applyFont="1" applyFill="1" applyBorder="1" applyAlignment="1">
      <alignment vertical="center"/>
    </xf>
    <xf numFmtId="164" fontId="25" fillId="5" borderId="4" xfId="0" applyNumberFormat="1" applyFont="1" applyFill="1" applyBorder="1" applyAlignment="1">
      <alignment horizontal="right" vertical="center"/>
    </xf>
    <xf numFmtId="1" fontId="28" fillId="2" borderId="5" xfId="0" applyNumberFormat="1" applyFont="1" applyFill="1" applyBorder="1" applyAlignment="1">
      <alignment horizontal="center" vertical="center"/>
    </xf>
    <xf numFmtId="164" fontId="29" fillId="0" borderId="1" xfId="0" applyNumberFormat="1" applyFont="1" applyBorder="1" applyAlignment="1">
      <alignment horizontal="center" vertical="center"/>
    </xf>
    <xf numFmtId="164" fontId="28" fillId="5" borderId="3" xfId="0" applyNumberFormat="1" applyFont="1" applyFill="1" applyBorder="1" applyAlignment="1">
      <alignment horizontal="right" vertical="center"/>
    </xf>
    <xf numFmtId="164" fontId="28" fillId="5" borderId="4" xfId="0" applyNumberFormat="1" applyFont="1" applyFill="1" applyBorder="1" applyAlignment="1">
      <alignment horizontal="left" vertical="center"/>
    </xf>
    <xf numFmtId="164" fontId="28" fillId="5" borderId="4" xfId="0" applyNumberFormat="1" applyFont="1" applyFill="1" applyBorder="1" applyAlignment="1">
      <alignment horizontal="right" vertical="center"/>
    </xf>
    <xf numFmtId="164" fontId="22" fillId="4" borderId="1" xfId="0" applyNumberFormat="1" applyFont="1" applyFill="1" applyBorder="1" applyAlignment="1">
      <alignment horizontal="center" vertical="center"/>
    </xf>
    <xf numFmtId="164" fontId="25" fillId="5" borderId="1" xfId="0" applyNumberFormat="1" applyFont="1" applyFill="1" applyBorder="1" applyAlignment="1">
      <alignment horizontal="center" vertical="center"/>
    </xf>
    <xf numFmtId="2" fontId="3" fillId="0" borderId="0" xfId="0" applyNumberFormat="1" applyFont="1" applyAlignment="1">
      <alignment horizontal="left"/>
    </xf>
    <xf numFmtId="0" fontId="30" fillId="0" borderId="0" xfId="0" applyFont="1" applyAlignment="1">
      <alignment horizontal="center" vertical="center" wrapText="1"/>
    </xf>
    <xf numFmtId="0" fontId="2" fillId="0" borderId="0" xfId="0" applyFont="1" applyAlignment="1">
      <alignment horizontal="center"/>
    </xf>
    <xf numFmtId="0" fontId="4" fillId="0" borderId="2" xfId="0" applyFont="1" applyBorder="1"/>
    <xf numFmtId="0" fontId="4" fillId="0" borderId="2" xfId="0" applyFont="1" applyBorder="1" applyAlignment="1">
      <alignment horizontal="center" vertical="center" wrapText="1"/>
    </xf>
    <xf numFmtId="1" fontId="5" fillId="0" borderId="0" xfId="0" applyNumberFormat="1" applyFont="1" applyAlignment="1">
      <alignment horizontal="center"/>
    </xf>
    <xf numFmtId="0" fontId="0" fillId="0" borderId="0" xfId="0" applyFill="1" applyAlignment="1">
      <alignment vertical="center" wrapText="1"/>
    </xf>
    <xf numFmtId="0" fontId="4" fillId="0" borderId="0" xfId="0" applyFont="1" applyAlignment="1">
      <alignment horizontal="right" vertical="center"/>
    </xf>
    <xf numFmtId="2" fontId="4" fillId="0" borderId="0" xfId="0" applyNumberFormat="1" applyFont="1" applyFill="1" applyAlignment="1">
      <alignment horizontal="center"/>
    </xf>
    <xf numFmtId="0" fontId="0" fillId="0" borderId="0" xfId="0" applyAlignment="1">
      <alignment horizontal="right" vertical="center" wrapText="1"/>
    </xf>
    <xf numFmtId="0" fontId="0" fillId="0" borderId="0" xfId="0" applyFill="1" applyAlignment="1">
      <alignment horizontal="right" vertical="center" wrapText="1"/>
    </xf>
    <xf numFmtId="2" fontId="5" fillId="0" borderId="0" xfId="0" applyNumberFormat="1" applyFont="1" applyFill="1" applyAlignment="1">
      <alignment horizontal="center"/>
    </xf>
    <xf numFmtId="2" fontId="5" fillId="0" borderId="0" xfId="0" applyNumberFormat="1" applyFont="1" applyAlignment="1">
      <alignment horizontal="left"/>
    </xf>
    <xf numFmtId="0" fontId="5" fillId="0" borderId="0" xfId="0" applyFont="1" applyAlignment="1">
      <alignment horizontal="right" vertical="center"/>
    </xf>
    <xf numFmtId="164" fontId="5" fillId="0" borderId="0" xfId="0" applyNumberFormat="1" applyFont="1" applyFill="1" applyAlignment="1">
      <alignment horizontal="center"/>
    </xf>
    <xf numFmtId="0" fontId="3" fillId="0" borderId="0" xfId="0" applyFont="1" applyAlignment="1">
      <alignment horizontal="right"/>
    </xf>
    <xf numFmtId="0" fontId="0" fillId="0" borderId="0" xfId="0" applyAlignment="1">
      <alignment horizontal="center"/>
    </xf>
    <xf numFmtId="2" fontId="25" fillId="5" borderId="1" xfId="0" applyNumberFormat="1" applyFont="1" applyFill="1" applyBorder="1" applyAlignment="1">
      <alignment horizontal="center" vertical="center"/>
    </xf>
    <xf numFmtId="0" fontId="5" fillId="0" borderId="0" xfId="0" applyFont="1" applyAlignment="1">
      <alignment horizontal="left" vertical="center"/>
    </xf>
    <xf numFmtId="0" fontId="11" fillId="2" borderId="10"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4" fillId="3" borderId="3" xfId="0" applyFont="1" applyFill="1" applyBorder="1" applyAlignment="1">
      <alignment horizontal="left"/>
    </xf>
    <xf numFmtId="0" fontId="14" fillId="3" borderId="4" xfId="0" applyFont="1" applyFill="1" applyBorder="1" applyAlignment="1">
      <alignment horizontal="left"/>
    </xf>
    <xf numFmtId="0" fontId="14" fillId="3" borderId="5" xfId="0" applyFont="1" applyFill="1" applyBorder="1" applyAlignment="1">
      <alignment horizontal="left"/>
    </xf>
    <xf numFmtId="0" fontId="11" fillId="3" borderId="3" xfId="0" applyFont="1" applyFill="1" applyBorder="1" applyAlignment="1">
      <alignment horizontal="center" wrapText="1"/>
    </xf>
    <xf numFmtId="0" fontId="11" fillId="3" borderId="5" xfId="0" applyFont="1" applyFill="1" applyBorder="1" applyAlignment="1">
      <alignment horizontal="center" wrapText="1"/>
    </xf>
    <xf numFmtId="0" fontId="15" fillId="3" borderId="3" xfId="0" applyFont="1" applyFill="1" applyBorder="1" applyAlignment="1">
      <alignment horizontal="center"/>
    </xf>
    <xf numFmtId="0" fontId="15" fillId="3" borderId="4" xfId="0" applyFont="1" applyFill="1" applyBorder="1" applyAlignment="1">
      <alignment horizontal="center"/>
    </xf>
    <xf numFmtId="0" fontId="15" fillId="3" borderId="5" xfId="0" applyFont="1" applyFill="1" applyBorder="1" applyAlignment="1">
      <alignment horizontal="center"/>
    </xf>
    <xf numFmtId="0" fontId="0" fillId="3" borderId="3" xfId="0" applyFill="1" applyBorder="1" applyAlignment="1">
      <alignment horizontal="center" wrapText="1"/>
    </xf>
    <xf numFmtId="0" fontId="0" fillId="3" borderId="4" xfId="0" applyFill="1" applyBorder="1" applyAlignment="1">
      <alignment horizontal="center" wrapText="1"/>
    </xf>
    <xf numFmtId="0" fontId="0" fillId="3" borderId="5" xfId="0" applyFill="1" applyBorder="1" applyAlignment="1">
      <alignment horizontal="center" wrapText="1"/>
    </xf>
    <xf numFmtId="0" fontId="10" fillId="3" borderId="6" xfId="0" applyFont="1" applyFill="1" applyBorder="1" applyAlignment="1">
      <alignment horizontal="center" wrapText="1"/>
    </xf>
    <xf numFmtId="0" fontId="10" fillId="3" borderId="11" xfId="0" applyFont="1" applyFill="1" applyBorder="1" applyAlignment="1">
      <alignment horizontal="center" wrapText="1"/>
    </xf>
    <xf numFmtId="0" fontId="11" fillId="3" borderId="6" xfId="0" applyFont="1" applyFill="1" applyBorder="1" applyAlignment="1">
      <alignment horizontal="center" wrapText="1"/>
    </xf>
    <xf numFmtId="0" fontId="11" fillId="3" borderId="12" xfId="0" applyFont="1" applyFill="1" applyBorder="1" applyAlignment="1">
      <alignment horizontal="center" wrapText="1"/>
    </xf>
    <xf numFmtId="0" fontId="10" fillId="3" borderId="3" xfId="0" applyFont="1" applyFill="1" applyBorder="1" applyAlignment="1">
      <alignment horizontal="center"/>
    </xf>
    <xf numFmtId="0" fontId="10" fillId="3" borderId="4" xfId="0" applyFont="1" applyFill="1" applyBorder="1" applyAlignment="1">
      <alignment horizontal="center"/>
    </xf>
    <xf numFmtId="0" fontId="10" fillId="3" borderId="5" xfId="0" applyFont="1" applyFill="1" applyBorder="1" applyAlignment="1">
      <alignment horizontal="center"/>
    </xf>
    <xf numFmtId="0" fontId="11" fillId="3" borderId="1" xfId="0" applyFont="1" applyFill="1" applyBorder="1" applyAlignment="1">
      <alignment horizontal="center"/>
    </xf>
    <xf numFmtId="0" fontId="16" fillId="3" borderId="7"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0"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8" fillId="3" borderId="8" xfId="0"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0"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8"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0"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6" fillId="0" borderId="0" xfId="0" applyFont="1" applyBorder="1" applyAlignment="1">
      <alignment horizontal="center"/>
    </xf>
    <xf numFmtId="0" fontId="1"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BD33"/>
  <sheetViews>
    <sheetView tabSelected="1" zoomScaleNormal="100" workbookViewId="0"/>
  </sheetViews>
  <sheetFormatPr defaultRowHeight="14.4" x14ac:dyDescent="0.3"/>
  <cols>
    <col min="1" max="1" width="17" customWidth="1"/>
    <col min="3" max="3" width="12.21875" customWidth="1"/>
    <col min="4" max="4" width="12" customWidth="1"/>
    <col min="5" max="6" width="11" customWidth="1"/>
    <col min="7" max="8" width="8.88671875" customWidth="1"/>
    <col min="12" max="12" width="13.44140625" customWidth="1"/>
    <col min="13" max="14" width="13.21875" customWidth="1"/>
    <col min="15" max="15" width="19" customWidth="1"/>
    <col min="19" max="19" width="3.109375" customWidth="1"/>
    <col min="20" max="20" width="6.21875" customWidth="1"/>
    <col min="21" max="21" width="3.44140625" customWidth="1"/>
    <col min="29" max="29" width="24.33203125" customWidth="1"/>
    <col min="43" max="44" width="26" customWidth="1"/>
    <col min="46" max="46" width="2.33203125" customWidth="1"/>
    <col min="47" max="47" width="10.33203125" customWidth="1"/>
    <col min="49" max="49" width="2.33203125" customWidth="1"/>
    <col min="50" max="50" width="9.44140625" customWidth="1"/>
    <col min="52" max="52" width="2.33203125" customWidth="1"/>
    <col min="53" max="53" width="8.6640625" customWidth="1"/>
    <col min="54" max="54" width="11.33203125" customWidth="1"/>
    <col min="56" max="56" width="19.88671875" customWidth="1"/>
  </cols>
  <sheetData>
    <row r="1" spans="2:56" x14ac:dyDescent="0.3">
      <c r="B1" s="1" t="s">
        <v>81</v>
      </c>
    </row>
    <row r="2" spans="2:56" x14ac:dyDescent="0.3">
      <c r="B2" s="2" t="s">
        <v>80</v>
      </c>
      <c r="Y2" s="3"/>
    </row>
    <row r="3" spans="2:56" x14ac:dyDescent="0.3">
      <c r="B3" s="4"/>
      <c r="C3" s="4"/>
      <c r="D3" s="4"/>
      <c r="E3" s="4"/>
      <c r="F3" s="4"/>
      <c r="G3" s="4"/>
      <c r="P3" s="127" t="s">
        <v>2</v>
      </c>
      <c r="Q3" s="127"/>
      <c r="X3" s="5"/>
      <c r="Y3" s="5"/>
      <c r="AD3" s="4" t="s">
        <v>4</v>
      </c>
    </row>
    <row r="4" spans="2:56" x14ac:dyDescent="0.3">
      <c r="B4" s="4"/>
      <c r="C4" s="4"/>
      <c r="D4" s="4"/>
      <c r="E4" s="4"/>
      <c r="F4" s="4"/>
      <c r="G4" s="6"/>
      <c r="H4" s="6"/>
      <c r="I4" s="4"/>
      <c r="P4" s="8" t="s">
        <v>5</v>
      </c>
      <c r="Q4" s="9" t="s">
        <v>6</v>
      </c>
      <c r="X4" s="3" t="s">
        <v>0</v>
      </c>
      <c r="Y4" s="5"/>
      <c r="AD4" s="4" t="s">
        <v>8</v>
      </c>
    </row>
    <row r="5" spans="2:56" x14ac:dyDescent="0.3">
      <c r="D5" s="6" t="s">
        <v>9</v>
      </c>
      <c r="E5" s="7" t="s">
        <v>6</v>
      </c>
      <c r="F5" s="7" t="s">
        <v>5</v>
      </c>
      <c r="G5" s="4" t="s">
        <v>10</v>
      </c>
      <c r="J5" s="10"/>
      <c r="K5" s="10"/>
      <c r="P5" s="11" t="str">
        <f>IF(AND(IFERROR(SEARCH("incr",$E$5&amp;$F$5),0),IFERROR(SEARCH("decr",$E$5&amp;$F$5),0)),"???",IF(IFERROR(SEARCH("incr",$E$5&amp;$F$5),0),0,IF(IFERROR(SEARCH("decr",$E$5&amp;$F$5),0),1,"???")))</f>
        <v>???</v>
      </c>
      <c r="Q5" s="11" t="str">
        <f>IF(AND(IFERROR(SEARCH("incr",$E$5&amp;$F$5),0),IFERROR(SEARCH("decr",$E$5&amp;$F$5),0)),"???",IF(IFERROR(SEARCH("incr",$E$5&amp;$F$5),0),1,IF(IFERROR(SEARCH("decr",$E$5&amp;$F$5),0),0,"???")))</f>
        <v>???</v>
      </c>
      <c r="X5" s="5" t="s">
        <v>105</v>
      </c>
      <c r="Y5" s="5"/>
    </row>
    <row r="6" spans="2:56" x14ac:dyDescent="0.3">
      <c r="B6" s="4" t="s">
        <v>103</v>
      </c>
      <c r="D6" s="6"/>
      <c r="E6" s="6"/>
      <c r="F6" s="6"/>
      <c r="G6" s="6"/>
      <c r="J6" s="10"/>
      <c r="K6" s="10"/>
      <c r="P6" s="11"/>
      <c r="Q6" s="11"/>
      <c r="X6" s="5"/>
      <c r="Y6" s="5"/>
    </row>
    <row r="7" spans="2:56" ht="22.8" customHeight="1" x14ac:dyDescent="0.3">
      <c r="D7" s="10"/>
      <c r="E7" s="10"/>
      <c r="F7" s="12"/>
      <c r="G7" s="4"/>
      <c r="Y7" s="5"/>
      <c r="AD7" s="13">
        <v>0</v>
      </c>
      <c r="AE7" s="14" t="s">
        <v>14</v>
      </c>
      <c r="AF7" s="15">
        <v>0.5</v>
      </c>
      <c r="AG7" s="14" t="s">
        <v>15</v>
      </c>
      <c r="AH7" s="15">
        <v>5</v>
      </c>
      <c r="AI7" s="14" t="s">
        <v>16</v>
      </c>
      <c r="AJ7" s="15">
        <v>25</v>
      </c>
      <c r="AK7" s="16" t="s">
        <v>17</v>
      </c>
      <c r="AL7" s="17">
        <f>100-AJ7</f>
        <v>75</v>
      </c>
      <c r="AM7" s="14" t="s">
        <v>18</v>
      </c>
      <c r="AN7" s="17">
        <f>100-AH7</f>
        <v>95</v>
      </c>
      <c r="AO7" s="14" t="s">
        <v>19</v>
      </c>
      <c r="AP7" s="17">
        <f>100-AF7</f>
        <v>99.5</v>
      </c>
      <c r="AQ7" s="18" t="s">
        <v>20</v>
      </c>
    </row>
    <row r="8" spans="2:56" x14ac:dyDescent="0.3">
      <c r="L8" s="4" t="s">
        <v>83</v>
      </c>
      <c r="U8" s="20" t="s">
        <v>102</v>
      </c>
      <c r="W8" s="53"/>
      <c r="X8" s="53"/>
      <c r="Y8" s="53"/>
    </row>
    <row r="9" spans="2:56" ht="14.4" customHeight="1" x14ac:dyDescent="0.3">
      <c r="C9" s="128" t="s">
        <v>59</v>
      </c>
      <c r="D9" s="128"/>
      <c r="E9" s="128"/>
      <c r="F9" s="128"/>
      <c r="G9" s="128"/>
      <c r="H9" s="128"/>
      <c r="I9" s="128"/>
      <c r="J9" s="128"/>
      <c r="K9" s="128"/>
      <c r="L9" s="128"/>
      <c r="M9" s="128"/>
      <c r="N9" s="128"/>
      <c r="T9" s="21"/>
      <c r="U9" s="21"/>
      <c r="V9" s="22" t="s">
        <v>23</v>
      </c>
      <c r="W9" s="22" t="s">
        <v>24</v>
      </c>
      <c r="X9" s="22" t="s">
        <v>25</v>
      </c>
      <c r="Y9" s="22" t="s">
        <v>26</v>
      </c>
      <c r="Z9" s="22" t="s">
        <v>27</v>
      </c>
    </row>
    <row r="10" spans="2:56" ht="14.4" customHeight="1" x14ac:dyDescent="0.3">
      <c r="C10" s="128" t="s">
        <v>60</v>
      </c>
      <c r="D10" s="128" t="s">
        <v>21</v>
      </c>
      <c r="E10" s="19" t="s">
        <v>22</v>
      </c>
      <c r="F10" s="128" t="s">
        <v>61</v>
      </c>
      <c r="G10" s="128" t="s">
        <v>62</v>
      </c>
      <c r="H10" s="128" t="s">
        <v>63</v>
      </c>
      <c r="I10" s="128" t="s">
        <v>49</v>
      </c>
      <c r="J10" s="128" t="s">
        <v>47</v>
      </c>
      <c r="K10" s="128" t="s">
        <v>48</v>
      </c>
      <c r="L10" s="72" t="s">
        <v>64</v>
      </c>
      <c r="M10" s="72" t="s">
        <v>64</v>
      </c>
      <c r="N10" s="72" t="s">
        <v>64</v>
      </c>
      <c r="R10" s="86" t="s">
        <v>96</v>
      </c>
      <c r="U10" s="23" t="s">
        <v>29</v>
      </c>
      <c r="V10" s="5">
        <v>0.9</v>
      </c>
      <c r="W10" s="5">
        <v>0.7</v>
      </c>
      <c r="X10" s="5">
        <v>0.5</v>
      </c>
      <c r="Y10" s="5">
        <v>0.3</v>
      </c>
      <c r="Z10" s="5">
        <v>0.1</v>
      </c>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row>
    <row r="11" spans="2:56" ht="14.4" customHeight="1" x14ac:dyDescent="0.3">
      <c r="C11" s="128"/>
      <c r="D11" s="128"/>
      <c r="E11" s="19" t="s">
        <v>28</v>
      </c>
      <c r="F11" s="128"/>
      <c r="G11" s="128"/>
      <c r="H11" s="128"/>
      <c r="I11" s="128"/>
      <c r="J11" s="128"/>
      <c r="K11" s="128"/>
      <c r="L11" s="19" t="s">
        <v>21</v>
      </c>
      <c r="M11" s="19" t="s">
        <v>47</v>
      </c>
      <c r="N11" s="19" t="s">
        <v>48</v>
      </c>
      <c r="P11" s="21"/>
      <c r="Q11" s="21"/>
      <c r="R11" s="37" t="s">
        <v>21</v>
      </c>
      <c r="S11" s="52"/>
      <c r="U11" s="23" t="s">
        <v>30</v>
      </c>
      <c r="V11" s="24">
        <f>1/V10</f>
        <v>1.1111111111111112</v>
      </c>
      <c r="W11" s="24">
        <f t="shared" ref="W11:X11" si="0">1/W10</f>
        <v>1.4285714285714286</v>
      </c>
      <c r="X11" s="25">
        <f t="shared" si="0"/>
        <v>2</v>
      </c>
      <c r="Y11" s="25">
        <f>1/Y10</f>
        <v>3.3333333333333335</v>
      </c>
      <c r="Z11" s="76">
        <f>1/Z10</f>
        <v>10</v>
      </c>
    </row>
    <row r="12" spans="2:56" ht="14.4" customHeight="1" x14ac:dyDescent="0.3">
      <c r="C12" s="29" t="s">
        <v>88</v>
      </c>
      <c r="D12" s="27">
        <v>-3.4729999999999999</v>
      </c>
      <c r="E12" s="27">
        <v>9.357E-2</v>
      </c>
      <c r="F12" s="27">
        <v>251</v>
      </c>
      <c r="G12" s="27">
        <v>-37.119999999999997</v>
      </c>
      <c r="H12" s="27" t="s">
        <v>82</v>
      </c>
      <c r="I12" s="27">
        <v>0.1</v>
      </c>
      <c r="J12" s="27">
        <v>-3.6274999999999999</v>
      </c>
      <c r="K12" s="27">
        <v>-3.3184999999999998</v>
      </c>
      <c r="L12" s="77">
        <v>3.1019999999999999E-2</v>
      </c>
      <c r="M12" s="27">
        <v>2.6579999999999999E-2</v>
      </c>
      <c r="N12" s="27">
        <v>3.6209999999999999E-2</v>
      </c>
      <c r="P12" s="4"/>
      <c r="Q12" s="84" t="str">
        <f>C12</f>
        <v>Overall mean</v>
      </c>
      <c r="R12" s="85">
        <f>1/L12</f>
        <v>32.237266279819472</v>
      </c>
      <c r="S12" s="79"/>
      <c r="T12" s="79"/>
      <c r="U12" s="31"/>
    </row>
    <row r="13" spans="2:56" ht="15.6" customHeight="1" x14ac:dyDescent="0.3">
      <c r="C13" s="29"/>
      <c r="D13" s="27">
        <v>0</v>
      </c>
      <c r="E13" s="80" t="s">
        <v>66</v>
      </c>
      <c r="F13" s="80" t="s">
        <v>66</v>
      </c>
      <c r="G13" s="80" t="s">
        <v>66</v>
      </c>
      <c r="H13" s="80" t="s">
        <v>66</v>
      </c>
      <c r="I13" s="80" t="s">
        <v>66</v>
      </c>
      <c r="J13" s="80" t="s">
        <v>66</v>
      </c>
      <c r="K13" s="81" t="s">
        <v>66</v>
      </c>
      <c r="L13" s="80" t="s">
        <v>66</v>
      </c>
      <c r="M13" s="80" t="s">
        <v>66</v>
      </c>
      <c r="N13" s="80" t="s">
        <v>66</v>
      </c>
      <c r="P13" s="78"/>
      <c r="Q13" s="82"/>
      <c r="R13" s="83"/>
      <c r="S13" s="83"/>
      <c r="T13" s="83"/>
      <c r="U13" s="71"/>
      <c r="V13" s="32"/>
      <c r="W13" s="32"/>
      <c r="X13" s="33" t="s">
        <v>84</v>
      </c>
      <c r="Y13" s="33"/>
      <c r="Z13" s="32"/>
      <c r="AA13" s="32"/>
      <c r="AD13" s="92" t="s">
        <v>86</v>
      </c>
      <c r="AE13" s="93"/>
      <c r="AF13" s="93"/>
      <c r="AG13" s="93"/>
      <c r="AH13" s="93"/>
      <c r="AI13" s="93"/>
      <c r="AJ13" s="94"/>
      <c r="AK13" s="95" t="s">
        <v>32</v>
      </c>
      <c r="AL13" s="96"/>
      <c r="AM13" s="97" t="s">
        <v>87</v>
      </c>
      <c r="AN13" s="98"/>
      <c r="AO13" s="98"/>
      <c r="AP13" s="98"/>
      <c r="AQ13" s="98"/>
      <c r="AR13" s="99"/>
      <c r="AS13" s="100" t="s">
        <v>34</v>
      </c>
      <c r="AT13" s="101"/>
      <c r="AU13" s="101"/>
      <c r="AV13" s="101"/>
      <c r="AW13" s="101"/>
      <c r="AX13" s="101"/>
      <c r="AY13" s="101"/>
      <c r="AZ13" s="101"/>
      <c r="BA13" s="102"/>
    </row>
    <row r="14" spans="2:56" ht="15.6" customHeight="1" x14ac:dyDescent="0.3">
      <c r="C14" s="29" t="s">
        <v>98</v>
      </c>
      <c r="D14" s="27">
        <v>-3.7263000000000002</v>
      </c>
      <c r="E14" s="27">
        <v>0.14560000000000001</v>
      </c>
      <c r="F14" s="27">
        <v>251</v>
      </c>
      <c r="G14" s="27">
        <v>-25.6</v>
      </c>
      <c r="H14" s="27" t="s">
        <v>82</v>
      </c>
      <c r="I14" s="27">
        <v>0.1</v>
      </c>
      <c r="J14" s="27">
        <v>-3.9666999999999999</v>
      </c>
      <c r="K14" s="27">
        <v>-3.4860000000000002</v>
      </c>
      <c r="L14" s="27">
        <v>2.4080000000000001E-2</v>
      </c>
      <c r="M14" s="27">
        <v>1.8939999999999999E-2</v>
      </c>
      <c r="N14" s="27">
        <v>3.0620000000000001E-2</v>
      </c>
      <c r="P14" s="4"/>
      <c r="Q14" s="84" t="str">
        <f>C14</f>
        <v>Control mean</v>
      </c>
      <c r="R14" s="25">
        <f>1/L14</f>
        <v>41.528239202657808</v>
      </c>
      <c r="S14" s="24"/>
      <c r="T14" s="24"/>
      <c r="U14" s="30"/>
      <c r="V14" s="24"/>
      <c r="W14" s="4"/>
      <c r="X14" s="11" t="s">
        <v>97</v>
      </c>
      <c r="Y14" s="5"/>
      <c r="Z14" s="4"/>
      <c r="AA14" s="4"/>
      <c r="AD14" s="103" t="s">
        <v>38</v>
      </c>
      <c r="AE14" s="105" t="s">
        <v>39</v>
      </c>
      <c r="AF14" s="107" t="s">
        <v>40</v>
      </c>
      <c r="AG14" s="108"/>
      <c r="AH14" s="109"/>
      <c r="AI14" s="110" t="s">
        <v>41</v>
      </c>
      <c r="AJ14" s="110"/>
      <c r="AK14" s="35" t="s">
        <v>42</v>
      </c>
      <c r="AL14" s="36" t="s">
        <v>43</v>
      </c>
      <c r="AM14" s="107" t="str">
        <f>"Effect &amp; re-estimated "&amp;AJ16&amp;"% confidence limits"</f>
        <v>Effect &amp; re-estimated 90% confidence limits</v>
      </c>
      <c r="AN14" s="108"/>
      <c r="AO14" s="108"/>
      <c r="AP14" s="109"/>
      <c r="AQ14" s="95" t="s">
        <v>44</v>
      </c>
      <c r="AR14" s="96"/>
      <c r="AS14" s="111" t="e">
        <f>"...beneficial or
substantially "&amp;AK15</f>
        <v>#VALUE!</v>
      </c>
      <c r="AT14" s="112"/>
      <c r="AU14" s="113"/>
      <c r="AV14" s="117" t="s">
        <v>45</v>
      </c>
      <c r="AW14" s="117"/>
      <c r="AX14" s="118"/>
      <c r="AY14" s="121" t="e">
        <f>"...harmful or 
substantially "&amp;AL15</f>
        <v>#VALUE!</v>
      </c>
      <c r="AZ14" s="122"/>
      <c r="BA14" s="123"/>
      <c r="BB14" s="90" t="s">
        <v>70</v>
      </c>
    </row>
    <row r="15" spans="2:56" ht="15.6" customHeight="1" x14ac:dyDescent="0.3">
      <c r="C15" s="29" t="s">
        <v>99</v>
      </c>
      <c r="D15" s="27">
        <v>-3.2197</v>
      </c>
      <c r="E15" s="27">
        <v>0.1176</v>
      </c>
      <c r="F15" s="27">
        <v>251</v>
      </c>
      <c r="G15" s="27">
        <v>-27.38</v>
      </c>
      <c r="H15" s="27" t="s">
        <v>82</v>
      </c>
      <c r="I15" s="27">
        <v>0.1</v>
      </c>
      <c r="J15" s="27">
        <v>-3.4138000000000002</v>
      </c>
      <c r="K15" s="27">
        <v>-3.0255000000000001</v>
      </c>
      <c r="L15" s="27">
        <v>3.9969999999999999E-2</v>
      </c>
      <c r="M15" s="27">
        <v>3.2919999999999998E-2</v>
      </c>
      <c r="N15" s="27">
        <v>4.8529999999999997E-2</v>
      </c>
      <c r="P15" s="4"/>
      <c r="Q15" s="84" t="str">
        <f>C15</f>
        <v>Exptal mean</v>
      </c>
      <c r="R15" s="25">
        <f>IFERROR(1/L15,"")</f>
        <v>25.018764073054793</v>
      </c>
      <c r="S15" s="24"/>
      <c r="T15" s="24"/>
      <c r="U15" s="30"/>
      <c r="V15" s="37" t="s">
        <v>21</v>
      </c>
      <c r="W15" s="37" t="s">
        <v>47</v>
      </c>
      <c r="X15" s="37" t="s">
        <v>48</v>
      </c>
      <c r="Y15" s="38" t="s">
        <v>71</v>
      </c>
      <c r="Z15" s="37" t="s">
        <v>50</v>
      </c>
      <c r="AA15" s="37" t="s">
        <v>51</v>
      </c>
      <c r="AD15" s="104"/>
      <c r="AE15" s="106"/>
      <c r="AF15" s="40" t="s">
        <v>73</v>
      </c>
      <c r="AG15" s="41" t="s">
        <v>74</v>
      </c>
      <c r="AH15" s="42" t="s">
        <v>75</v>
      </c>
      <c r="AI15" s="43" t="s">
        <v>52</v>
      </c>
      <c r="AJ15" s="44" t="s">
        <v>53</v>
      </c>
      <c r="AK15" s="45" t="e">
        <f>IF(AK16&lt;1,"decr.","incr.")</f>
        <v>#VALUE!</v>
      </c>
      <c r="AL15" s="46" t="e">
        <f>IF(AL16&gt;1,"incr.","decr.")</f>
        <v>#VALUE!</v>
      </c>
      <c r="AM15" s="47" t="s">
        <v>54</v>
      </c>
      <c r="AN15" s="44" t="s">
        <v>76</v>
      </c>
      <c r="AO15" s="44" t="s">
        <v>77</v>
      </c>
      <c r="AP15" s="42" t="s">
        <v>75</v>
      </c>
      <c r="AQ15" s="48" t="s">
        <v>55</v>
      </c>
      <c r="AR15" s="49" t="s">
        <v>56</v>
      </c>
      <c r="AS15" s="114"/>
      <c r="AT15" s="115"/>
      <c r="AU15" s="116"/>
      <c r="AV15" s="119"/>
      <c r="AW15" s="119"/>
      <c r="AX15" s="120"/>
      <c r="AY15" s="124"/>
      <c r="AZ15" s="125"/>
      <c r="BA15" s="126"/>
      <c r="BB15" s="91"/>
      <c r="BC15" s="50" t="s">
        <v>57</v>
      </c>
    </row>
    <row r="16" spans="2:56" ht="15.6" customHeight="1" x14ac:dyDescent="0.3">
      <c r="C16" s="29" t="s">
        <v>100</v>
      </c>
      <c r="D16" s="27">
        <v>0.50670000000000004</v>
      </c>
      <c r="E16" s="27">
        <v>0.18709999999999999</v>
      </c>
      <c r="F16" s="27">
        <v>251</v>
      </c>
      <c r="G16" s="27">
        <v>2.71</v>
      </c>
      <c r="H16" s="27">
        <v>7.1999999999999998E-3</v>
      </c>
      <c r="I16" s="27">
        <v>0.1</v>
      </c>
      <c r="J16" s="28">
        <v>0.19769999999999999</v>
      </c>
      <c r="K16" s="27">
        <v>0.81559999999999999</v>
      </c>
      <c r="L16" s="27">
        <v>1.6597999999999999</v>
      </c>
      <c r="M16" s="27">
        <v>1.2185999999999999</v>
      </c>
      <c r="N16" s="27">
        <v>2.2606000000000002</v>
      </c>
      <c r="P16" s="4"/>
      <c r="R16" s="4"/>
      <c r="S16" s="4"/>
      <c r="T16" s="4"/>
      <c r="U16" s="78" t="str">
        <f>C16</f>
        <v>Exptal/Control mean</v>
      </c>
      <c r="V16" s="53">
        <f>L16</f>
        <v>1.6597999999999999</v>
      </c>
      <c r="W16" s="53">
        <f t="shared" ref="W16:X16" si="1">M16</f>
        <v>1.2185999999999999</v>
      </c>
      <c r="X16" s="53">
        <f t="shared" si="1"/>
        <v>2.2606000000000002</v>
      </c>
      <c r="Y16" s="53">
        <f>SQRT(X16/W16)</f>
        <v>1.3620130687847516</v>
      </c>
      <c r="Z16" s="24">
        <f>$V$10</f>
        <v>0.9</v>
      </c>
      <c r="AA16" s="24">
        <f>$V$11</f>
        <v>1.1111111111111112</v>
      </c>
      <c r="AC16" s="23" t="str">
        <f>U16</f>
        <v>Exptal/Control mean</v>
      </c>
      <c r="AD16" s="55">
        <f>V16</f>
        <v>1.6597999999999999</v>
      </c>
      <c r="AE16" s="56">
        <f>F16</f>
        <v>251</v>
      </c>
      <c r="AF16" s="55">
        <f>W16</f>
        <v>1.2185999999999999</v>
      </c>
      <c r="AG16" s="55">
        <f>X16</f>
        <v>2.2606000000000002</v>
      </c>
      <c r="AH16" s="55">
        <f>SQRT(AG16/AF16)</f>
        <v>1.3620130687847516</v>
      </c>
      <c r="AI16" s="57">
        <f>100*(1-I16)</f>
        <v>90</v>
      </c>
      <c r="AJ16" s="58">
        <f>100-2*$AH$7</f>
        <v>90</v>
      </c>
      <c r="AK16" s="55" t="e">
        <f>$P$5*Z16+$Q$5*AA16</f>
        <v>#VALUE!</v>
      </c>
      <c r="AL16" s="55" t="e">
        <f>$Q$5*Z16+$P$5*AA16</f>
        <v>#VALUE!</v>
      </c>
      <c r="AM16" s="88">
        <f>AD16</f>
        <v>1.6597999999999999</v>
      </c>
      <c r="AN16" s="88">
        <f>EXP(LN(AD16)-TINV((100-AJ16)/100,AE16)*BC16)</f>
        <v>1.2186373523426961</v>
      </c>
      <c r="AO16" s="88">
        <f>EXP(LN(AD16)+TINV((100-AJ16)/100,AE16)*BC16)</f>
        <v>2.2606692915689308</v>
      </c>
      <c r="AP16" s="88">
        <f>SQRT(AO16/AN16)</f>
        <v>1.3620130687847516</v>
      </c>
      <c r="AQ16" s="59" t="e">
        <f>IF(AS16&lt;$AJ$7,IF(MAX(AV16,AY16)=AV16,AX16&amp;" trivial; don't use",BA16&amp;" harmful; don't use"),IF(AY16&lt;$AF$7,AU16&amp;" beneficial; use","unclear; don't use"))</f>
        <v>#VALUE!</v>
      </c>
      <c r="AR16" s="59" t="e">
        <f>IF(MIN(AS16,AY16)&gt;$AH$7,"unclear",IF(MAX(AS16,AV16,AY16)=AS16,AU16&amp;" "&amp;AK15,IF(MAX(AS16,AV16,AY16)=AV16,AX16&amp;" trivial",BA16&amp;" "&amp;AL15)))</f>
        <v>#VALUE!</v>
      </c>
      <c r="AS16" s="60" t="e">
        <f>100*IF(LN(AK16)&gt;0,IF(LN(AD16)-LN(AK16)&gt;0,1-TDIST((LN(AD16)-LN(AK16))/BC16,AE16,1),TDIST((LN(AK16)-LN(AD16))/BC16,AE16,1)),IF(LN(AD16)-LN(AK16)&gt;0,TDIST((LN(AD16)-LN(AK16))/BC16,AE16,1),1-TDIST((LN(AK16)-LN(AD16))/BC16,AE16,1)))</f>
        <v>#VALUE!</v>
      </c>
      <c r="AT16" s="61" t="s">
        <v>58</v>
      </c>
      <c r="AU16" s="62" t="e">
        <f>IF(AS16&lt;$AF$7,$AE$7,IF(AS16&lt;$AH$7,$AG$7,IF(AS16&lt;$AJ$7,$AI$7,IF(AS16&lt;$AL$7,$AK$7,IF(AS16&lt;$AN$7,$AM$7,IF(AS16&lt;$AP$7,$AO$7,$AQ$7))))))</f>
        <v>#VALUE!</v>
      </c>
      <c r="AV16" s="63" t="e">
        <f>100-AS16-AY16</f>
        <v>#VALUE!</v>
      </c>
      <c r="AW16" s="61" t="s">
        <v>58</v>
      </c>
      <c r="AX16" s="62" t="e">
        <f>IF(AV16&lt;$AF$7,$AE$7,IF(AV16&lt;$AH$7,$AG$7,IF(AV16&lt;$AJ$7,$AI$7,IF(AV16&lt;$AL$7,$AK$7,IF(AV16&lt;$AN$7,$AM$7,IF(AV16&lt;$AP$7,$AO$7,$AQ$7))))))</f>
        <v>#VALUE!</v>
      </c>
      <c r="AY16" s="60" t="e">
        <f>100*IF(LN(AL16)&gt;0,IF(LN(AD16)-LN(AL16)&gt;0,1-TDIST((LN(AD16)-LN(AL16))/BC16,AE16,1),TDIST((LN(AL16)-LN(AD16))/BC16,AE16,1)),IF(LN(AD16)-LN(AL16)&gt;0,TDIST((LN(AD16)-LN(AL16))/BC16,AE16,1),1-TDIST((LN(AL16)-LN(AD16))/BC16,AE16,1)))</f>
        <v>#VALUE!</v>
      </c>
      <c r="AZ16" s="61" t="s">
        <v>58</v>
      </c>
      <c r="BA16" s="62" t="e">
        <f>IF(AY16&lt;$AF$7,$AE$7,IF(AY16&lt;$AH$7,$AG$7,IF(AY16&lt;$AJ$7,$AI$7,IF(AY16&lt;$AL$7,$AK$7,IF(AY16&lt;$AN$7,$AM$7,IF(AY16&lt;$AP$7,$AO$7,$AQ$7))))))</f>
        <v>#VALUE!</v>
      </c>
      <c r="BB16" s="64" t="e">
        <f>AS16/(100-AS16)/(AY16/(100-AY16))</f>
        <v>#VALUE!</v>
      </c>
      <c r="BC16" s="65">
        <f>(LN(AG16)-LN(AF16))/2/TINV(1-AI16/100,AE16)</f>
        <v>0.1871433778658293</v>
      </c>
      <c r="BD16" s="26" t="str">
        <f>U16</f>
        <v>Exptal/Control mean</v>
      </c>
    </row>
    <row r="17" spans="3:56" ht="15.6" x14ac:dyDescent="0.3">
      <c r="C17" s="29"/>
      <c r="D17">
        <v>0</v>
      </c>
      <c r="E17" t="s">
        <v>66</v>
      </c>
      <c r="F17" t="s">
        <v>66</v>
      </c>
      <c r="G17" t="s">
        <v>66</v>
      </c>
      <c r="H17" t="s">
        <v>66</v>
      </c>
      <c r="I17" t="s">
        <v>66</v>
      </c>
      <c r="J17" t="s">
        <v>66</v>
      </c>
      <c r="K17" t="s">
        <v>66</v>
      </c>
      <c r="L17" t="s">
        <v>66</v>
      </c>
      <c r="M17" t="s">
        <v>66</v>
      </c>
      <c r="N17" t="s">
        <v>66</v>
      </c>
      <c r="P17" s="78"/>
      <c r="Q17" s="82"/>
      <c r="R17" s="83"/>
      <c r="S17" s="83"/>
      <c r="T17" s="83"/>
      <c r="U17" s="71"/>
      <c r="V17" s="32"/>
      <c r="W17" s="32"/>
      <c r="X17" s="33" t="s">
        <v>84</v>
      </c>
      <c r="Y17" s="33"/>
      <c r="Z17" s="32"/>
      <c r="AA17" s="32"/>
      <c r="AC17" s="10"/>
      <c r="AD17" s="92" t="s">
        <v>86</v>
      </c>
      <c r="AE17" s="93"/>
      <c r="AF17" s="93"/>
      <c r="AG17" s="93"/>
      <c r="AH17" s="93"/>
      <c r="AI17" s="93"/>
      <c r="AJ17" s="94"/>
      <c r="AK17" s="95" t="s">
        <v>32</v>
      </c>
      <c r="AL17" s="96"/>
      <c r="AM17" s="97" t="s">
        <v>87</v>
      </c>
      <c r="AN17" s="98"/>
      <c r="AO17" s="98"/>
      <c r="AP17" s="98"/>
      <c r="AQ17" s="98"/>
      <c r="AR17" s="99"/>
      <c r="AS17" s="100" t="s">
        <v>34</v>
      </c>
      <c r="AT17" s="101"/>
      <c r="AU17" s="101"/>
      <c r="AV17" s="101"/>
      <c r="AW17" s="101"/>
      <c r="AX17" s="101"/>
      <c r="AY17" s="101"/>
      <c r="AZ17" s="101"/>
      <c r="BA17" s="102"/>
    </row>
    <row r="18" spans="3:56" ht="14.4" customHeight="1" x14ac:dyDescent="0.3">
      <c r="C18" s="29" t="s">
        <v>89</v>
      </c>
      <c r="D18">
        <v>-4.2629999999999999</v>
      </c>
      <c r="E18">
        <v>0.24490000000000001</v>
      </c>
      <c r="F18">
        <v>251</v>
      </c>
      <c r="G18">
        <v>-17.399999999999999</v>
      </c>
      <c r="H18" t="s">
        <v>82</v>
      </c>
      <c r="I18">
        <v>0.1</v>
      </c>
      <c r="J18">
        <v>-4.6673</v>
      </c>
      <c r="K18">
        <v>-3.8586</v>
      </c>
      <c r="L18">
        <v>1.4080000000000001E-2</v>
      </c>
      <c r="M18">
        <v>9.3970000000000008E-3</v>
      </c>
      <c r="N18">
        <v>2.1100000000000001E-2</v>
      </c>
      <c r="P18" s="4"/>
      <c r="Q18" s="84" t="str">
        <f>C18</f>
        <v>Control mean @ -1SD BaseTrain</v>
      </c>
      <c r="R18" s="25">
        <f>1/L18</f>
        <v>71.022727272727266</v>
      </c>
      <c r="S18" s="24"/>
      <c r="T18" s="24"/>
      <c r="U18" s="30"/>
      <c r="V18" s="24"/>
      <c r="W18" s="4"/>
      <c r="X18" s="11" t="s">
        <v>97</v>
      </c>
      <c r="Y18" s="5"/>
      <c r="Z18" s="4"/>
      <c r="AA18" s="4"/>
      <c r="AC18" s="10"/>
      <c r="AD18" s="103" t="s">
        <v>38</v>
      </c>
      <c r="AE18" s="105" t="s">
        <v>39</v>
      </c>
      <c r="AF18" s="107" t="s">
        <v>40</v>
      </c>
      <c r="AG18" s="108"/>
      <c r="AH18" s="109"/>
      <c r="AI18" s="110" t="s">
        <v>41</v>
      </c>
      <c r="AJ18" s="110"/>
      <c r="AK18" s="35" t="s">
        <v>42</v>
      </c>
      <c r="AL18" s="36" t="s">
        <v>43</v>
      </c>
      <c r="AM18" s="107" t="str">
        <f>"Effect &amp; re-estimated "&amp;AJ20&amp;"% confidence limits"</f>
        <v>Effect &amp; re-estimated 90% confidence limits</v>
      </c>
      <c r="AN18" s="108"/>
      <c r="AO18" s="108"/>
      <c r="AP18" s="109"/>
      <c r="AQ18" s="95" t="s">
        <v>44</v>
      </c>
      <c r="AR18" s="96"/>
      <c r="AS18" s="111" t="e">
        <f>"...beneficial or
substantially "&amp;AK19</f>
        <v>#VALUE!</v>
      </c>
      <c r="AT18" s="112"/>
      <c r="AU18" s="113"/>
      <c r="AV18" s="117" t="s">
        <v>45</v>
      </c>
      <c r="AW18" s="117"/>
      <c r="AX18" s="118"/>
      <c r="AY18" s="121" t="e">
        <f>"...harmful or 
substantially "&amp;AL19</f>
        <v>#VALUE!</v>
      </c>
      <c r="AZ18" s="122"/>
      <c r="BA18" s="123"/>
      <c r="BB18" s="90" t="s">
        <v>70</v>
      </c>
    </row>
    <row r="19" spans="3:56" x14ac:dyDescent="0.3">
      <c r="C19" s="29" t="s">
        <v>90</v>
      </c>
      <c r="D19">
        <v>-3.1897000000000002</v>
      </c>
      <c r="E19">
        <v>0.17399999999999999</v>
      </c>
      <c r="F19">
        <v>251</v>
      </c>
      <c r="G19">
        <v>-18.329999999999998</v>
      </c>
      <c r="H19" t="s">
        <v>82</v>
      </c>
      <c r="I19">
        <v>0.1</v>
      </c>
      <c r="J19">
        <v>-3.4769999999999999</v>
      </c>
      <c r="K19">
        <v>-2.9024000000000001</v>
      </c>
      <c r="L19">
        <v>4.1180000000000001E-2</v>
      </c>
      <c r="M19">
        <v>3.09E-2</v>
      </c>
      <c r="N19">
        <v>5.4890000000000001E-2</v>
      </c>
      <c r="P19" s="4"/>
      <c r="Q19" s="84" t="str">
        <f>C19</f>
        <v>Control mean @ +1SD BaseTrain</v>
      </c>
      <c r="R19" s="25">
        <f>IFERROR(1/L19,"")</f>
        <v>24.283632831471586</v>
      </c>
      <c r="S19" s="24"/>
      <c r="T19" s="24"/>
      <c r="U19" s="30"/>
      <c r="V19" s="37" t="s">
        <v>21</v>
      </c>
      <c r="W19" s="37" t="s">
        <v>47</v>
      </c>
      <c r="X19" s="37" t="s">
        <v>48</v>
      </c>
      <c r="Y19" s="38" t="s">
        <v>71</v>
      </c>
      <c r="Z19" s="37" t="s">
        <v>50</v>
      </c>
      <c r="AA19" s="37" t="s">
        <v>51</v>
      </c>
      <c r="AC19" s="10"/>
      <c r="AD19" s="104"/>
      <c r="AE19" s="106"/>
      <c r="AF19" s="40" t="s">
        <v>73</v>
      </c>
      <c r="AG19" s="41" t="s">
        <v>74</v>
      </c>
      <c r="AH19" s="42" t="s">
        <v>75</v>
      </c>
      <c r="AI19" s="43" t="s">
        <v>52</v>
      </c>
      <c r="AJ19" s="44" t="s">
        <v>53</v>
      </c>
      <c r="AK19" s="45" t="e">
        <f>IF(AK20&lt;1,"decr.","incr.")</f>
        <v>#VALUE!</v>
      </c>
      <c r="AL19" s="46" t="e">
        <f>IF(AL20&gt;1,"incr.","decr.")</f>
        <v>#VALUE!</v>
      </c>
      <c r="AM19" s="47" t="s">
        <v>54</v>
      </c>
      <c r="AN19" s="44" t="s">
        <v>76</v>
      </c>
      <c r="AO19" s="44" t="s">
        <v>77</v>
      </c>
      <c r="AP19" s="42" t="s">
        <v>75</v>
      </c>
      <c r="AQ19" s="48" t="s">
        <v>55</v>
      </c>
      <c r="AR19" s="49" t="s">
        <v>56</v>
      </c>
      <c r="AS19" s="114"/>
      <c r="AT19" s="115"/>
      <c r="AU19" s="116"/>
      <c r="AV19" s="119"/>
      <c r="AW19" s="119"/>
      <c r="AX19" s="120"/>
      <c r="AY19" s="124"/>
      <c r="AZ19" s="125"/>
      <c r="BA19" s="126"/>
      <c r="BB19" s="91"/>
      <c r="BC19" s="50" t="s">
        <v>57</v>
      </c>
    </row>
    <row r="20" spans="3:56" x14ac:dyDescent="0.3">
      <c r="C20" s="29" t="s">
        <v>91</v>
      </c>
      <c r="D20">
        <v>1.0731999999999999</v>
      </c>
      <c r="E20">
        <v>0.3095</v>
      </c>
      <c r="F20">
        <v>251</v>
      </c>
      <c r="G20">
        <v>3.47</v>
      </c>
      <c r="H20">
        <v>5.9999999999999995E-4</v>
      </c>
      <c r="I20">
        <v>0.1</v>
      </c>
      <c r="J20">
        <v>0.56230000000000002</v>
      </c>
      <c r="K20">
        <v>1.5842000000000001</v>
      </c>
      <c r="L20">
        <v>2.9249000000000001</v>
      </c>
      <c r="M20">
        <v>1.7545999999999999</v>
      </c>
      <c r="N20">
        <v>4.8756000000000004</v>
      </c>
      <c r="P20" s="4"/>
      <c r="R20" s="4"/>
      <c r="S20" s="4"/>
      <c r="T20" s="4"/>
      <c r="U20" s="78" t="str">
        <f>C20</f>
        <v>Control +1SD/-1SD BaseTrain</v>
      </c>
      <c r="V20" s="53">
        <f>L20</f>
        <v>2.9249000000000001</v>
      </c>
      <c r="W20" s="53">
        <f t="shared" ref="W20" si="2">M20</f>
        <v>1.7545999999999999</v>
      </c>
      <c r="X20" s="53">
        <f t="shared" ref="X20" si="3">N20</f>
        <v>4.8756000000000004</v>
      </c>
      <c r="Y20" s="53">
        <f>SQRT(X20/W20)</f>
        <v>1.6669592053001656</v>
      </c>
      <c r="Z20" s="24">
        <f>$V$10</f>
        <v>0.9</v>
      </c>
      <c r="AA20" s="24">
        <f>$V$11</f>
        <v>1.1111111111111112</v>
      </c>
      <c r="AC20" s="23" t="str">
        <f>U20</f>
        <v>Control +1SD/-1SD BaseTrain</v>
      </c>
      <c r="AD20" s="55">
        <f>V20</f>
        <v>2.9249000000000001</v>
      </c>
      <c r="AE20" s="56">
        <f>F20</f>
        <v>251</v>
      </c>
      <c r="AF20" s="55">
        <f>W20</f>
        <v>1.7545999999999999</v>
      </c>
      <c r="AG20" s="55">
        <f>X20</f>
        <v>4.8756000000000004</v>
      </c>
      <c r="AH20" s="55">
        <f>SQRT(AG20/AF20)</f>
        <v>1.6669592053001656</v>
      </c>
      <c r="AI20" s="57">
        <f>100*(1-I20)</f>
        <v>90</v>
      </c>
      <c r="AJ20" s="58">
        <f>100-2*$AH$7</f>
        <v>90</v>
      </c>
      <c r="AK20" s="55" t="e">
        <f>$P$5*Z20+$Q$5*AA20</f>
        <v>#VALUE!</v>
      </c>
      <c r="AL20" s="55" t="e">
        <f>$Q$5*Z20+$P$5*AA20</f>
        <v>#VALUE!</v>
      </c>
      <c r="AM20" s="88">
        <f>AD20</f>
        <v>2.9249000000000001</v>
      </c>
      <c r="AN20" s="88">
        <f>EXP(LN(AD20)-TINV((100-AJ20)/100,AE20)*BC20)</f>
        <v>1.7546320214076985</v>
      </c>
      <c r="AO20" s="88">
        <f>EXP(LN(AD20)+TINV((100-AJ20)/100,AE20)*BC20)</f>
        <v>4.8756889795824554</v>
      </c>
      <c r="AP20" s="88">
        <f>SQRT(AO20/AN20)</f>
        <v>1.6669592053001656</v>
      </c>
      <c r="AQ20" s="59" t="e">
        <f>IF(AS20&lt;$AJ$7,IF(MAX(AV20,AY20)=AV20,AX20&amp;" trivial; don't use",BA20&amp;" harmful; don't use"),IF(AY20&lt;$AF$7,AU20&amp;" beneficial; use","unclear; don't use"))</f>
        <v>#VALUE!</v>
      </c>
      <c r="AR20" s="59" t="e">
        <f>IF(MIN(AS20,AY20)&gt;$AH$7,"unclear",IF(MAX(AS20,AV20,AY20)=AS20,AU20&amp;" "&amp;AK19,IF(MAX(AS20,AV20,AY20)=AV20,AX20&amp;" trivial",BA20&amp;" "&amp;AL19)))</f>
        <v>#VALUE!</v>
      </c>
      <c r="AS20" s="60" t="e">
        <f>100*IF(LN(AK20)&gt;0,IF(LN(AD20)-LN(AK20)&gt;0,1-TDIST((LN(AD20)-LN(AK20))/BC20,AE20,1),TDIST((LN(AK20)-LN(AD20))/BC20,AE20,1)),IF(LN(AD20)-LN(AK20)&gt;0,TDIST((LN(AD20)-LN(AK20))/BC20,AE20,1),1-TDIST((LN(AK20)-LN(AD20))/BC20,AE20,1)))</f>
        <v>#VALUE!</v>
      </c>
      <c r="AT20" s="61" t="s">
        <v>58</v>
      </c>
      <c r="AU20" s="62" t="e">
        <f>IF(AS20&lt;$AF$7,$AE$7,IF(AS20&lt;$AH$7,$AG$7,IF(AS20&lt;$AJ$7,$AI$7,IF(AS20&lt;$AL$7,$AK$7,IF(AS20&lt;$AN$7,$AM$7,IF(AS20&lt;$AP$7,$AO$7,$AQ$7))))))</f>
        <v>#VALUE!</v>
      </c>
      <c r="AV20" s="63" t="e">
        <f>100-AS20-AY20</f>
        <v>#VALUE!</v>
      </c>
      <c r="AW20" s="61" t="s">
        <v>58</v>
      </c>
      <c r="AX20" s="62" t="e">
        <f>IF(AV20&lt;$AF$7,$AE$7,IF(AV20&lt;$AH$7,$AG$7,IF(AV20&lt;$AJ$7,$AI$7,IF(AV20&lt;$AL$7,$AK$7,IF(AV20&lt;$AN$7,$AM$7,IF(AV20&lt;$AP$7,$AO$7,$AQ$7))))))</f>
        <v>#VALUE!</v>
      </c>
      <c r="AY20" s="60" t="e">
        <f>100*IF(LN(AL20)&gt;0,IF(LN(AD20)-LN(AL20)&gt;0,1-TDIST((LN(AD20)-LN(AL20))/BC20,AE20,1),TDIST((LN(AL20)-LN(AD20))/BC20,AE20,1)),IF(LN(AD20)-LN(AL20)&gt;0,TDIST((LN(AD20)-LN(AL20))/BC20,AE20,1),1-TDIST((LN(AL20)-LN(AD20))/BC20,AE20,1)))</f>
        <v>#VALUE!</v>
      </c>
      <c r="AZ20" s="61" t="s">
        <v>58</v>
      </c>
      <c r="BA20" s="62" t="e">
        <f>IF(AY20&lt;$AF$7,$AE$7,IF(AY20&lt;$AH$7,$AG$7,IF(AY20&lt;$AJ$7,$AI$7,IF(AY20&lt;$AL$7,$AK$7,IF(AY20&lt;$AN$7,$AM$7,IF(AY20&lt;$AP$7,$AO$7,$AQ$7))))))</f>
        <v>#VALUE!</v>
      </c>
      <c r="BB20" s="64" t="e">
        <f>AS20/(100-AS20)/(AY20/(100-AY20))</f>
        <v>#VALUE!</v>
      </c>
      <c r="BC20" s="65">
        <f>(LN(AG20)-LN(AF20))/2/TINV(1-AI20/100,AE20)</f>
        <v>0.30952000503207244</v>
      </c>
      <c r="BD20" s="26" t="str">
        <f>U20</f>
        <v>Control +1SD/-1SD BaseTrain</v>
      </c>
    </row>
    <row r="21" spans="3:56" ht="15.6" x14ac:dyDescent="0.3">
      <c r="C21" s="29"/>
      <c r="D21">
        <v>0</v>
      </c>
      <c r="E21" t="s">
        <v>66</v>
      </c>
      <c r="F21" t="s">
        <v>66</v>
      </c>
      <c r="G21" t="s">
        <v>66</v>
      </c>
      <c r="H21" t="s">
        <v>66</v>
      </c>
      <c r="I21" t="s">
        <v>66</v>
      </c>
      <c r="J21" t="s">
        <v>66</v>
      </c>
      <c r="K21" t="s">
        <v>66</v>
      </c>
      <c r="L21" t="s">
        <v>66</v>
      </c>
      <c r="M21" t="s">
        <v>66</v>
      </c>
      <c r="N21" t="s">
        <v>66</v>
      </c>
      <c r="P21" s="78"/>
      <c r="Q21" s="82"/>
      <c r="R21" s="83"/>
      <c r="S21" s="83"/>
      <c r="T21" s="83"/>
      <c r="U21" s="71"/>
      <c r="V21" s="32"/>
      <c r="W21" s="32"/>
      <c r="X21" s="33" t="s">
        <v>84</v>
      </c>
      <c r="Y21" s="33"/>
      <c r="Z21" s="32"/>
      <c r="AA21" s="32"/>
      <c r="AC21" s="10"/>
      <c r="AD21" s="92" t="s">
        <v>86</v>
      </c>
      <c r="AE21" s="93"/>
      <c r="AF21" s="93"/>
      <c r="AG21" s="93"/>
      <c r="AH21" s="93"/>
      <c r="AI21" s="93"/>
      <c r="AJ21" s="94"/>
      <c r="AK21" s="95" t="s">
        <v>32</v>
      </c>
      <c r="AL21" s="96"/>
      <c r="AM21" s="97" t="s">
        <v>87</v>
      </c>
      <c r="AN21" s="98"/>
      <c r="AO21" s="98"/>
      <c r="AP21" s="98"/>
      <c r="AQ21" s="98"/>
      <c r="AR21" s="99"/>
      <c r="AS21" s="100" t="s">
        <v>34</v>
      </c>
      <c r="AT21" s="101"/>
      <c r="AU21" s="101"/>
      <c r="AV21" s="101"/>
      <c r="AW21" s="101"/>
      <c r="AX21" s="101"/>
      <c r="AY21" s="101"/>
      <c r="AZ21" s="101"/>
      <c r="BA21" s="102"/>
    </row>
    <row r="22" spans="3:56" ht="14.4" customHeight="1" x14ac:dyDescent="0.3">
      <c r="C22" s="29" t="s">
        <v>92</v>
      </c>
      <c r="D22">
        <v>-3.4327000000000001</v>
      </c>
      <c r="E22">
        <v>0.1701</v>
      </c>
      <c r="F22">
        <v>251</v>
      </c>
      <c r="G22">
        <v>-20.170000000000002</v>
      </c>
      <c r="H22" t="s">
        <v>82</v>
      </c>
      <c r="I22">
        <v>0.1</v>
      </c>
      <c r="J22">
        <v>-3.7136</v>
      </c>
      <c r="K22">
        <v>-3.1518000000000002</v>
      </c>
      <c r="L22">
        <v>3.2300000000000002E-2</v>
      </c>
      <c r="M22">
        <v>2.4389999999999998E-2</v>
      </c>
      <c r="N22">
        <v>4.2779999999999999E-2</v>
      </c>
      <c r="P22" s="4"/>
      <c r="Q22" s="84" t="str">
        <f>C22</f>
        <v>Exptal mean @ -1SD BaseTrain</v>
      </c>
      <c r="R22" s="25">
        <f>1/L22</f>
        <v>30.959752321981423</v>
      </c>
      <c r="S22" s="24"/>
      <c r="T22" s="24"/>
      <c r="U22" s="30"/>
      <c r="V22" s="24"/>
      <c r="W22" s="4"/>
      <c r="X22" s="11" t="s">
        <v>97</v>
      </c>
      <c r="Y22" s="5"/>
      <c r="Z22" s="4"/>
      <c r="AA22" s="4"/>
      <c r="AC22" s="10"/>
      <c r="AD22" s="103" t="s">
        <v>38</v>
      </c>
      <c r="AE22" s="105" t="s">
        <v>39</v>
      </c>
      <c r="AF22" s="107" t="s">
        <v>40</v>
      </c>
      <c r="AG22" s="108"/>
      <c r="AH22" s="109"/>
      <c r="AI22" s="110" t="s">
        <v>41</v>
      </c>
      <c r="AJ22" s="110"/>
      <c r="AK22" s="35" t="s">
        <v>42</v>
      </c>
      <c r="AL22" s="36" t="s">
        <v>43</v>
      </c>
      <c r="AM22" s="107" t="str">
        <f>"Effect &amp; re-estimated "&amp;AJ24&amp;"% confidence limits"</f>
        <v>Effect &amp; re-estimated 90% confidence limits</v>
      </c>
      <c r="AN22" s="108"/>
      <c r="AO22" s="108"/>
      <c r="AP22" s="109"/>
      <c r="AQ22" s="95" t="s">
        <v>44</v>
      </c>
      <c r="AR22" s="96"/>
      <c r="AS22" s="111" t="e">
        <f>"...beneficial or
substantially "&amp;AK23</f>
        <v>#VALUE!</v>
      </c>
      <c r="AT22" s="112"/>
      <c r="AU22" s="113"/>
      <c r="AV22" s="117" t="s">
        <v>45</v>
      </c>
      <c r="AW22" s="117"/>
      <c r="AX22" s="118"/>
      <c r="AY22" s="121" t="e">
        <f>"...harmful or 
substantially "&amp;AL23</f>
        <v>#VALUE!</v>
      </c>
      <c r="AZ22" s="122"/>
      <c r="BA22" s="123"/>
      <c r="BB22" s="90" t="s">
        <v>70</v>
      </c>
    </row>
    <row r="23" spans="3:56" x14ac:dyDescent="0.3">
      <c r="C23" s="29" t="s">
        <v>93</v>
      </c>
      <c r="D23">
        <v>-3.0066999999999999</v>
      </c>
      <c r="E23">
        <v>0.15820000000000001</v>
      </c>
      <c r="F23">
        <v>251</v>
      </c>
      <c r="G23">
        <v>-19.010000000000002</v>
      </c>
      <c r="H23" t="s">
        <v>82</v>
      </c>
      <c r="I23">
        <v>0.1</v>
      </c>
      <c r="J23">
        <v>-3.2677999999999998</v>
      </c>
      <c r="K23">
        <v>-2.7454999999999998</v>
      </c>
      <c r="L23">
        <v>4.9459999999999997E-2</v>
      </c>
      <c r="M23">
        <v>3.8089999999999999E-2</v>
      </c>
      <c r="N23">
        <v>6.4219999999999999E-2</v>
      </c>
      <c r="P23" s="4"/>
      <c r="Q23" s="84" t="str">
        <f>C23</f>
        <v>Exptal mean @ +1SD BaseTrain</v>
      </c>
      <c r="R23" s="25">
        <f>IFERROR(1/L23,"")</f>
        <v>20.218358269308535</v>
      </c>
      <c r="S23" s="24"/>
      <c r="T23" s="24"/>
      <c r="U23" s="30"/>
      <c r="V23" s="37" t="s">
        <v>21</v>
      </c>
      <c r="W23" s="37" t="s">
        <v>47</v>
      </c>
      <c r="X23" s="37" t="s">
        <v>48</v>
      </c>
      <c r="Y23" s="38" t="s">
        <v>71</v>
      </c>
      <c r="Z23" s="37" t="s">
        <v>50</v>
      </c>
      <c r="AA23" s="37" t="s">
        <v>51</v>
      </c>
      <c r="AC23" s="10"/>
      <c r="AD23" s="104"/>
      <c r="AE23" s="106"/>
      <c r="AF23" s="40" t="s">
        <v>73</v>
      </c>
      <c r="AG23" s="41" t="s">
        <v>74</v>
      </c>
      <c r="AH23" s="42" t="s">
        <v>75</v>
      </c>
      <c r="AI23" s="43" t="s">
        <v>52</v>
      </c>
      <c r="AJ23" s="44" t="s">
        <v>53</v>
      </c>
      <c r="AK23" s="45" t="e">
        <f>IF(AK24&lt;1,"decr.","incr.")</f>
        <v>#VALUE!</v>
      </c>
      <c r="AL23" s="46" t="e">
        <f>IF(AL24&gt;1,"incr.","decr.")</f>
        <v>#VALUE!</v>
      </c>
      <c r="AM23" s="47" t="s">
        <v>54</v>
      </c>
      <c r="AN23" s="44" t="s">
        <v>76</v>
      </c>
      <c r="AO23" s="44" t="s">
        <v>77</v>
      </c>
      <c r="AP23" s="42" t="s">
        <v>75</v>
      </c>
      <c r="AQ23" s="48" t="s">
        <v>55</v>
      </c>
      <c r="AR23" s="49" t="s">
        <v>56</v>
      </c>
      <c r="AS23" s="114"/>
      <c r="AT23" s="115"/>
      <c r="AU23" s="116"/>
      <c r="AV23" s="119"/>
      <c r="AW23" s="119"/>
      <c r="AX23" s="120"/>
      <c r="AY23" s="124"/>
      <c r="AZ23" s="125"/>
      <c r="BA23" s="126"/>
      <c r="BB23" s="91"/>
      <c r="BC23" s="50" t="s">
        <v>57</v>
      </c>
    </row>
    <row r="24" spans="3:56" x14ac:dyDescent="0.3">
      <c r="C24" s="29" t="s">
        <v>94</v>
      </c>
      <c r="D24">
        <v>0.42599999999999999</v>
      </c>
      <c r="E24">
        <v>0.22939999999999999</v>
      </c>
      <c r="F24">
        <v>251</v>
      </c>
      <c r="G24">
        <v>1.86</v>
      </c>
      <c r="H24">
        <v>6.4500000000000002E-2</v>
      </c>
      <c r="I24">
        <v>0.1</v>
      </c>
      <c r="J24">
        <v>4.7260000000000003E-2</v>
      </c>
      <c r="K24">
        <v>0.80469999999999997</v>
      </c>
      <c r="L24">
        <v>1.5310999999999999</v>
      </c>
      <c r="M24">
        <v>1.0484</v>
      </c>
      <c r="N24">
        <v>2.2361</v>
      </c>
      <c r="P24" s="4"/>
      <c r="R24" s="4"/>
      <c r="S24" s="4"/>
      <c r="T24" s="4"/>
      <c r="U24" s="78" t="str">
        <f>C24</f>
        <v>Exptal +1SD/-1SD BaseTrain</v>
      </c>
      <c r="V24" s="53">
        <f>L24</f>
        <v>1.5310999999999999</v>
      </c>
      <c r="W24" s="53">
        <f t="shared" ref="W24" si="4">M24</f>
        <v>1.0484</v>
      </c>
      <c r="X24" s="53">
        <f t="shared" ref="X24" si="5">N24</f>
        <v>2.2361</v>
      </c>
      <c r="Y24" s="53">
        <f>SQRT(X24/W24)</f>
        <v>1.460434570228448</v>
      </c>
      <c r="Z24" s="24">
        <f>$V$10</f>
        <v>0.9</v>
      </c>
      <c r="AA24" s="24">
        <f>$V$11</f>
        <v>1.1111111111111112</v>
      </c>
      <c r="AC24" s="23" t="str">
        <f>U24</f>
        <v>Exptal +1SD/-1SD BaseTrain</v>
      </c>
      <c r="AD24" s="55">
        <f>V24</f>
        <v>1.5310999999999999</v>
      </c>
      <c r="AE24" s="56">
        <f>F24</f>
        <v>251</v>
      </c>
      <c r="AF24" s="55">
        <f>W24</f>
        <v>1.0484</v>
      </c>
      <c r="AG24" s="55">
        <f>X24</f>
        <v>2.2361</v>
      </c>
      <c r="AH24" s="55">
        <f>SQRT(AG24/AF24)</f>
        <v>1.460434570228448</v>
      </c>
      <c r="AI24" s="57">
        <f>100*(1-I24)</f>
        <v>90</v>
      </c>
      <c r="AJ24" s="58">
        <f>100-2*$AH$7</f>
        <v>90</v>
      </c>
      <c r="AK24" s="55" t="e">
        <f>$P$5*Z24+$Q$5*AA24</f>
        <v>#VALUE!</v>
      </c>
      <c r="AL24" s="55" t="e">
        <f>$Q$5*Z24+$P$5*AA24</f>
        <v>#VALUE!</v>
      </c>
      <c r="AM24" s="88">
        <f>AD24</f>
        <v>1.5310999999999999</v>
      </c>
      <c r="AN24" s="88">
        <f>EXP(LN(AD24)-TINV((100-AJ24)/100,AE24)*BC24)</f>
        <v>1.0483865769902296</v>
      </c>
      <c r="AO24" s="88">
        <f>EXP(LN(AD24)+TINV((100-AJ24)/100,AE24)*BC24)</f>
        <v>2.2360713704767767</v>
      </c>
      <c r="AP24" s="88">
        <f>SQRT(AO24/AN24)</f>
        <v>1.460434570228448</v>
      </c>
      <c r="AQ24" s="59" t="e">
        <f>IF(AS24&lt;$AJ$7,IF(MAX(AV24,AY24)=AV24,AX24&amp;" trivial; don't use",BA24&amp;" harmful; don't use"),IF(AY24&lt;$AF$7,AU24&amp;" beneficial; use","unclear; don't use"))</f>
        <v>#VALUE!</v>
      </c>
      <c r="AR24" s="59" t="e">
        <f>IF(MIN(AS24,AY24)&gt;$AH$7,"unclear",IF(MAX(AS24,AV24,AY24)=AS24,AU24&amp;" "&amp;AK23,IF(MAX(AS24,AV24,AY24)=AV24,AX24&amp;" trivial",BA24&amp;" "&amp;AL23)))</f>
        <v>#VALUE!</v>
      </c>
      <c r="AS24" s="60" t="e">
        <f>100*IF(LN(AK24)&gt;0,IF(LN(AD24)-LN(AK24)&gt;0,1-TDIST((LN(AD24)-LN(AK24))/BC24,AE24,1),TDIST((LN(AK24)-LN(AD24))/BC24,AE24,1)),IF(LN(AD24)-LN(AK24)&gt;0,TDIST((LN(AD24)-LN(AK24))/BC24,AE24,1),1-TDIST((LN(AK24)-LN(AD24))/BC24,AE24,1)))</f>
        <v>#VALUE!</v>
      </c>
      <c r="AT24" s="61" t="s">
        <v>58</v>
      </c>
      <c r="AU24" s="62" t="e">
        <f>IF(AS24&lt;$AF$7,$AE$7,IF(AS24&lt;$AH$7,$AG$7,IF(AS24&lt;$AJ$7,$AI$7,IF(AS24&lt;$AL$7,$AK$7,IF(AS24&lt;$AN$7,$AM$7,IF(AS24&lt;$AP$7,$AO$7,$AQ$7))))))</f>
        <v>#VALUE!</v>
      </c>
      <c r="AV24" s="63" t="e">
        <f>100-AS24-AY24</f>
        <v>#VALUE!</v>
      </c>
      <c r="AW24" s="61" t="s">
        <v>58</v>
      </c>
      <c r="AX24" s="62" t="e">
        <f>IF(AV24&lt;$AF$7,$AE$7,IF(AV24&lt;$AH$7,$AG$7,IF(AV24&lt;$AJ$7,$AI$7,IF(AV24&lt;$AL$7,$AK$7,IF(AV24&lt;$AN$7,$AM$7,IF(AV24&lt;$AP$7,$AO$7,$AQ$7))))))</f>
        <v>#VALUE!</v>
      </c>
      <c r="AY24" s="60" t="e">
        <f>100*IF(LN(AL24)&gt;0,IF(LN(AD24)-LN(AL24)&gt;0,1-TDIST((LN(AD24)-LN(AL24))/BC24,AE24,1),TDIST((LN(AL24)-LN(AD24))/BC24,AE24,1)),IF(LN(AD24)-LN(AL24)&gt;0,TDIST((LN(AD24)-LN(AL24))/BC24,AE24,1),1-TDIST((LN(AL24)-LN(AD24))/BC24,AE24,1)))</f>
        <v>#VALUE!</v>
      </c>
      <c r="AZ24" s="61" t="s">
        <v>58</v>
      </c>
      <c r="BA24" s="62" t="e">
        <f>IF(AY24&lt;$AF$7,$AE$7,IF(AY24&lt;$AH$7,$AG$7,IF(AY24&lt;$AJ$7,$AI$7,IF(AY24&lt;$AL$7,$AK$7,IF(AY24&lt;$AN$7,$AM$7,IF(AY24&lt;$AP$7,$AO$7,$AQ$7))))))</f>
        <v>#VALUE!</v>
      </c>
      <c r="BB24" s="64" t="e">
        <f>AS24/(100-AS24)/(AY24/(100-AY24))</f>
        <v>#VALUE!</v>
      </c>
      <c r="BC24" s="65">
        <f>(LN(AG24)-LN(AF24))/2/TINV(1-AI24/100,AE24)</f>
        <v>0.22940411563443516</v>
      </c>
      <c r="BD24" s="26" t="str">
        <f>U24</f>
        <v>Exptal +1SD/-1SD BaseTrain</v>
      </c>
    </row>
    <row r="25" spans="3:56" ht="15.6" x14ac:dyDescent="0.3">
      <c r="C25" s="29"/>
      <c r="D25">
        <v>0</v>
      </c>
      <c r="E25" t="s">
        <v>66</v>
      </c>
      <c r="F25" t="s">
        <v>66</v>
      </c>
      <c r="G25" t="s">
        <v>66</v>
      </c>
      <c r="H25" t="s">
        <v>66</v>
      </c>
      <c r="I25" t="s">
        <v>66</v>
      </c>
      <c r="J25" t="s">
        <v>66</v>
      </c>
      <c r="K25" t="s">
        <v>66</v>
      </c>
      <c r="L25" t="s">
        <v>66</v>
      </c>
      <c r="M25" t="s">
        <v>66</v>
      </c>
      <c r="N25" t="s">
        <v>66</v>
      </c>
      <c r="P25" s="78"/>
      <c r="Q25" s="82"/>
      <c r="R25" s="83"/>
      <c r="S25" s="83"/>
      <c r="T25" s="83"/>
      <c r="U25" s="71"/>
      <c r="V25" s="32"/>
      <c r="W25" s="32"/>
      <c r="X25" s="33" t="s">
        <v>84</v>
      </c>
      <c r="Y25" s="33"/>
      <c r="Z25" s="32"/>
      <c r="AA25" s="32"/>
      <c r="AC25" s="10"/>
      <c r="AD25" s="92" t="s">
        <v>86</v>
      </c>
      <c r="AE25" s="93"/>
      <c r="AF25" s="93"/>
      <c r="AG25" s="93"/>
      <c r="AH25" s="93"/>
      <c r="AI25" s="93"/>
      <c r="AJ25" s="94"/>
      <c r="AK25" s="95" t="s">
        <v>32</v>
      </c>
      <c r="AL25" s="96"/>
      <c r="AM25" s="97" t="s">
        <v>87</v>
      </c>
      <c r="AN25" s="98"/>
      <c r="AO25" s="98"/>
      <c r="AP25" s="98"/>
      <c r="AQ25" s="98"/>
      <c r="AR25" s="99"/>
      <c r="AS25" s="100" t="s">
        <v>34</v>
      </c>
      <c r="AT25" s="101"/>
      <c r="AU25" s="101"/>
      <c r="AV25" s="101"/>
      <c r="AW25" s="101"/>
      <c r="AX25" s="101"/>
      <c r="AY25" s="101"/>
      <c r="AZ25" s="101"/>
      <c r="BA25" s="102"/>
    </row>
    <row r="26" spans="3:56" ht="14.4" customHeight="1" x14ac:dyDescent="0.3">
      <c r="C26" s="29" t="s">
        <v>104</v>
      </c>
      <c r="D26">
        <v>-4.2225999999999999</v>
      </c>
      <c r="E26">
        <v>0.23300000000000001</v>
      </c>
      <c r="F26">
        <v>251</v>
      </c>
      <c r="G26">
        <v>-18.13</v>
      </c>
      <c r="H26" t="s">
        <v>82</v>
      </c>
      <c r="I26">
        <v>0.1</v>
      </c>
      <c r="J26">
        <v>-4.6071999999999997</v>
      </c>
      <c r="K26">
        <v>-3.8380000000000001</v>
      </c>
      <c r="L26">
        <v>1.4659999999999999E-2</v>
      </c>
      <c r="M26">
        <v>9.979E-3</v>
      </c>
      <c r="N26">
        <v>2.154E-2</v>
      </c>
      <c r="P26" s="4"/>
      <c r="Q26" s="84" t="str">
        <f>C26</f>
        <v>Exptal/Control mean BaseTrain reference</v>
      </c>
      <c r="R26" s="25">
        <f>1/L26</f>
        <v>68.212824010914048</v>
      </c>
      <c r="S26" s="24"/>
      <c r="T26" s="24"/>
      <c r="U26" s="30"/>
      <c r="V26" s="24"/>
      <c r="W26" s="4"/>
      <c r="X26" s="11" t="s">
        <v>97</v>
      </c>
      <c r="Y26" s="5"/>
      <c r="Z26" s="4"/>
      <c r="AA26" s="4"/>
      <c r="AC26" s="10"/>
      <c r="AD26" s="103" t="s">
        <v>38</v>
      </c>
      <c r="AE26" s="105" t="s">
        <v>39</v>
      </c>
      <c r="AF26" s="107" t="s">
        <v>40</v>
      </c>
      <c r="AG26" s="108"/>
      <c r="AH26" s="109"/>
      <c r="AI26" s="110" t="s">
        <v>41</v>
      </c>
      <c r="AJ26" s="110"/>
      <c r="AK26" s="35" t="s">
        <v>42</v>
      </c>
      <c r="AL26" s="36" t="s">
        <v>43</v>
      </c>
      <c r="AM26" s="107" t="str">
        <f>"Effect &amp; re-estimated "&amp;AJ28&amp;"% confidence limits"</f>
        <v>Effect &amp; re-estimated 90% confidence limits</v>
      </c>
      <c r="AN26" s="108"/>
      <c r="AO26" s="108"/>
      <c r="AP26" s="109"/>
      <c r="AQ26" s="95" t="s">
        <v>44</v>
      </c>
      <c r="AR26" s="96"/>
      <c r="AS26" s="111" t="e">
        <f>"...beneficial or
substantially "&amp;AK27</f>
        <v>#VALUE!</v>
      </c>
      <c r="AT26" s="112"/>
      <c r="AU26" s="113"/>
      <c r="AV26" s="117" t="s">
        <v>45</v>
      </c>
      <c r="AW26" s="117"/>
      <c r="AX26" s="118"/>
      <c r="AY26" s="121" t="e">
        <f>"...harmful or 
substantially "&amp;AL27</f>
        <v>#VALUE!</v>
      </c>
      <c r="AZ26" s="122"/>
      <c r="BA26" s="123"/>
      <c r="BB26" s="90" t="s">
        <v>70</v>
      </c>
    </row>
    <row r="27" spans="3:56" x14ac:dyDescent="0.3">
      <c r="C27" s="29" t="s">
        <v>85</v>
      </c>
      <c r="D27">
        <v>0</v>
      </c>
      <c r="E27" t="s">
        <v>66</v>
      </c>
      <c r="F27" t="s">
        <v>66</v>
      </c>
      <c r="G27" t="s">
        <v>66</v>
      </c>
      <c r="H27" t="s">
        <v>66</v>
      </c>
      <c r="I27" t="s">
        <v>66</v>
      </c>
      <c r="J27" t="s">
        <v>66</v>
      </c>
      <c r="K27" t="s">
        <v>66</v>
      </c>
      <c r="L27" t="s">
        <v>66</v>
      </c>
      <c r="M27" t="s">
        <v>66</v>
      </c>
      <c r="N27" t="s">
        <v>66</v>
      </c>
      <c r="P27" s="4"/>
      <c r="Q27" s="84" t="str">
        <f>C27</f>
        <v>blank</v>
      </c>
      <c r="R27" s="25" t="str">
        <f>IFERROR(1/L27,"")</f>
        <v/>
      </c>
      <c r="S27" s="24"/>
      <c r="T27" s="24"/>
      <c r="U27" s="30"/>
      <c r="V27" s="37" t="s">
        <v>21</v>
      </c>
      <c r="W27" s="37" t="s">
        <v>47</v>
      </c>
      <c r="X27" s="37" t="s">
        <v>48</v>
      </c>
      <c r="Y27" s="38" t="s">
        <v>71</v>
      </c>
      <c r="Z27" s="37" t="s">
        <v>50</v>
      </c>
      <c r="AA27" s="37" t="s">
        <v>51</v>
      </c>
      <c r="AC27" s="10"/>
      <c r="AD27" s="104"/>
      <c r="AE27" s="106"/>
      <c r="AF27" s="40" t="s">
        <v>73</v>
      </c>
      <c r="AG27" s="41" t="s">
        <v>74</v>
      </c>
      <c r="AH27" s="42" t="s">
        <v>75</v>
      </c>
      <c r="AI27" s="43" t="s">
        <v>52</v>
      </c>
      <c r="AJ27" s="44" t="s">
        <v>53</v>
      </c>
      <c r="AK27" s="45" t="e">
        <f>IF(AK28&lt;1,"decr.","incr.")</f>
        <v>#VALUE!</v>
      </c>
      <c r="AL27" s="46" t="e">
        <f>IF(AL28&gt;1,"incr.","decr.")</f>
        <v>#VALUE!</v>
      </c>
      <c r="AM27" s="47" t="s">
        <v>54</v>
      </c>
      <c r="AN27" s="44" t="s">
        <v>76</v>
      </c>
      <c r="AO27" s="44" t="s">
        <v>77</v>
      </c>
      <c r="AP27" s="42" t="s">
        <v>75</v>
      </c>
      <c r="AQ27" s="48" t="s">
        <v>55</v>
      </c>
      <c r="AR27" s="49" t="s">
        <v>56</v>
      </c>
      <c r="AS27" s="114"/>
      <c r="AT27" s="115"/>
      <c r="AU27" s="116"/>
      <c r="AV27" s="119"/>
      <c r="AW27" s="119"/>
      <c r="AX27" s="120"/>
      <c r="AY27" s="124"/>
      <c r="AZ27" s="125"/>
      <c r="BA27" s="126"/>
      <c r="BB27" s="91"/>
      <c r="BC27" s="50" t="s">
        <v>57</v>
      </c>
    </row>
    <row r="28" spans="3:56" x14ac:dyDescent="0.3">
      <c r="C28" s="29" t="s">
        <v>95</v>
      </c>
      <c r="D28">
        <v>-0.64729999999999999</v>
      </c>
      <c r="E28">
        <v>0.38529999999999998</v>
      </c>
      <c r="F28">
        <v>251</v>
      </c>
      <c r="G28">
        <v>-1.68</v>
      </c>
      <c r="H28">
        <v>9.4200000000000006E-2</v>
      </c>
      <c r="I28">
        <v>0.1</v>
      </c>
      <c r="J28">
        <v>-1.2833000000000001</v>
      </c>
      <c r="K28">
        <v>-1.12E-2</v>
      </c>
      <c r="L28">
        <v>0.52349999999999997</v>
      </c>
      <c r="M28">
        <v>0.27710000000000001</v>
      </c>
      <c r="N28">
        <v>0.9889</v>
      </c>
      <c r="P28" s="4"/>
      <c r="R28" s="4"/>
      <c r="S28" s="4"/>
      <c r="T28" s="4"/>
      <c r="U28" s="78" t="str">
        <f>C28</f>
        <v>Exptal/Control +1SD/-1SD BaseTrain</v>
      </c>
      <c r="V28" s="53">
        <f>L28</f>
        <v>0.52349999999999997</v>
      </c>
      <c r="W28" s="53">
        <f t="shared" ref="W28" si="6">M28</f>
        <v>0.27710000000000001</v>
      </c>
      <c r="X28" s="53">
        <f t="shared" ref="X28" si="7">N28</f>
        <v>0.9889</v>
      </c>
      <c r="Y28" s="53">
        <f>SQRT(X28/W28)</f>
        <v>1.8891129517571392</v>
      </c>
      <c r="Z28" s="24">
        <f>$V$10</f>
        <v>0.9</v>
      </c>
      <c r="AA28" s="24">
        <f>$V$11</f>
        <v>1.1111111111111112</v>
      </c>
      <c r="AC28" s="23" t="str">
        <f>U28</f>
        <v>Exptal/Control +1SD/-1SD BaseTrain</v>
      </c>
      <c r="AD28" s="55">
        <f>V28</f>
        <v>0.52349999999999997</v>
      </c>
      <c r="AE28" s="56">
        <f>F28</f>
        <v>251</v>
      </c>
      <c r="AF28" s="55">
        <f>W28</f>
        <v>0.27710000000000001</v>
      </c>
      <c r="AG28" s="55">
        <f>X28</f>
        <v>0.9889</v>
      </c>
      <c r="AH28" s="55">
        <f>SQRT(AG28/AF28)</f>
        <v>1.8891129517571392</v>
      </c>
      <c r="AI28" s="57">
        <f>100*(1-I28)</f>
        <v>90</v>
      </c>
      <c r="AJ28" s="58">
        <f>100-2*$AH$7</f>
        <v>90</v>
      </c>
      <c r="AK28" s="55" t="e">
        <f>$P$5*Z28+$Q$5*AA28</f>
        <v>#VALUE!</v>
      </c>
      <c r="AL28" s="55" t="e">
        <f>$Q$5*Z28+$P$5*AA28</f>
        <v>#VALUE!</v>
      </c>
      <c r="AM28" s="88">
        <f>AD28</f>
        <v>0.52349999999999997</v>
      </c>
      <c r="AN28" s="88">
        <f>EXP(LN(AD28)-TINV((100-AJ28)/100,AE28)*BC28)</f>
        <v>0.27711418711785962</v>
      </c>
      <c r="AO28" s="88">
        <f>EXP(LN(AD28)+TINV((100-AJ28)/100,AE28)*BC28)</f>
        <v>0.98895063024486241</v>
      </c>
      <c r="AP28" s="88">
        <f>SQRT(AO28/AN28)</f>
        <v>1.8891129517571392</v>
      </c>
      <c r="AQ28" s="59" t="e">
        <f>IF(AS28&lt;$AJ$7,IF(MAX(AV28,AY28)=AV28,AX28&amp;" trivial; don't use",BA28&amp;" harmful; don't use"),IF(AY28&lt;$AF$7,AU28&amp;" beneficial; use","unclear; don't use"))</f>
        <v>#VALUE!</v>
      </c>
      <c r="AR28" s="59" t="e">
        <f>IF(MIN(AS28,AY28)&gt;$AH$7,"unclear",IF(MAX(AS28,AV28,AY28)=AS28,AU28&amp;" "&amp;AK27,IF(MAX(AS28,AV28,AY28)=AV28,AX28&amp;" trivial",BA28&amp;" "&amp;AL27)))</f>
        <v>#VALUE!</v>
      </c>
      <c r="AS28" s="60" t="e">
        <f>100*IF(LN(AK28)&gt;0,IF(LN(AD28)-LN(AK28)&gt;0,1-TDIST((LN(AD28)-LN(AK28))/BC28,AE28,1),TDIST((LN(AK28)-LN(AD28))/BC28,AE28,1)),IF(LN(AD28)-LN(AK28)&gt;0,TDIST((LN(AD28)-LN(AK28))/BC28,AE28,1),1-TDIST((LN(AK28)-LN(AD28))/BC28,AE28,1)))</f>
        <v>#VALUE!</v>
      </c>
      <c r="AT28" s="61" t="s">
        <v>58</v>
      </c>
      <c r="AU28" s="62" t="e">
        <f>IF(AS28&lt;$AF$7,$AE$7,IF(AS28&lt;$AH$7,$AG$7,IF(AS28&lt;$AJ$7,$AI$7,IF(AS28&lt;$AL$7,$AK$7,IF(AS28&lt;$AN$7,$AM$7,IF(AS28&lt;$AP$7,$AO$7,$AQ$7))))))</f>
        <v>#VALUE!</v>
      </c>
      <c r="AV28" s="63" t="e">
        <f>100-AS28-AY28</f>
        <v>#VALUE!</v>
      </c>
      <c r="AW28" s="61" t="s">
        <v>58</v>
      </c>
      <c r="AX28" s="62" t="e">
        <f>IF(AV28&lt;$AF$7,$AE$7,IF(AV28&lt;$AH$7,$AG$7,IF(AV28&lt;$AJ$7,$AI$7,IF(AV28&lt;$AL$7,$AK$7,IF(AV28&lt;$AN$7,$AM$7,IF(AV28&lt;$AP$7,$AO$7,$AQ$7))))))</f>
        <v>#VALUE!</v>
      </c>
      <c r="AY28" s="60" t="e">
        <f>100*IF(LN(AL28)&gt;0,IF(LN(AD28)-LN(AL28)&gt;0,1-TDIST((LN(AD28)-LN(AL28))/BC28,AE28,1),TDIST((LN(AL28)-LN(AD28))/BC28,AE28,1)),IF(LN(AD28)-LN(AL28)&gt;0,TDIST((LN(AD28)-LN(AL28))/BC28,AE28,1),1-TDIST((LN(AL28)-LN(AD28))/BC28,AE28,1)))</f>
        <v>#VALUE!</v>
      </c>
      <c r="AZ28" s="61" t="s">
        <v>58</v>
      </c>
      <c r="BA28" s="62" t="e">
        <f>IF(AY28&lt;$AF$7,$AE$7,IF(AY28&lt;$AH$7,$AG$7,IF(AY28&lt;$AJ$7,$AI$7,IF(AY28&lt;$AL$7,$AK$7,IF(AY28&lt;$AN$7,$AM$7,IF(AY28&lt;$AP$7,$AO$7,$AQ$7))))))</f>
        <v>#VALUE!</v>
      </c>
      <c r="BB28" s="64" t="e">
        <f>AS28/(100-AS28)/(AY28/(100-AY28))</f>
        <v>#VALUE!</v>
      </c>
      <c r="BC28" s="65">
        <f>(LN(AG28)-LN(AF28))/2/TINV(1-AI28/100,AE28)</f>
        <v>0.38529848111346204</v>
      </c>
      <c r="BD28" s="26" t="str">
        <f>U28</f>
        <v>Exptal/Control +1SD/-1SD BaseTrain</v>
      </c>
    </row>
    <row r="29" spans="3:56" x14ac:dyDescent="0.3">
      <c r="C29" s="89" t="s">
        <v>108</v>
      </c>
    </row>
    <row r="30" spans="3:56" x14ac:dyDescent="0.3">
      <c r="C30" s="89" t="s">
        <v>109</v>
      </c>
    </row>
    <row r="31" spans="3:56" x14ac:dyDescent="0.3">
      <c r="C31" s="29"/>
    </row>
    <row r="32" spans="3:56" x14ac:dyDescent="0.3">
      <c r="C32" s="29"/>
    </row>
    <row r="33" spans="3:3" x14ac:dyDescent="0.3">
      <c r="C33" s="29"/>
    </row>
  </sheetData>
  <mergeCells count="66">
    <mergeCell ref="BB14:BB15"/>
    <mergeCell ref="AQ14:AR14"/>
    <mergeCell ref="AS14:AU15"/>
    <mergeCell ref="AV14:AX15"/>
    <mergeCell ref="AD13:AJ13"/>
    <mergeCell ref="AK13:AL13"/>
    <mergeCell ref="AM13:AR13"/>
    <mergeCell ref="AS13:BA13"/>
    <mergeCell ref="AY14:BA15"/>
    <mergeCell ref="AD14:AD15"/>
    <mergeCell ref="AE14:AE15"/>
    <mergeCell ref="AF14:AH14"/>
    <mergeCell ref="AI14:AJ14"/>
    <mergeCell ref="AM14:AP14"/>
    <mergeCell ref="P3:Q3"/>
    <mergeCell ref="C9:N9"/>
    <mergeCell ref="C10:C11"/>
    <mergeCell ref="D10:D11"/>
    <mergeCell ref="F10:F11"/>
    <mergeCell ref="G10:G11"/>
    <mergeCell ref="H10:H11"/>
    <mergeCell ref="I10:I11"/>
    <mergeCell ref="J10:J11"/>
    <mergeCell ref="K10:K11"/>
    <mergeCell ref="AD17:AJ17"/>
    <mergeCell ref="AK17:AL17"/>
    <mergeCell ref="AM17:AR17"/>
    <mergeCell ref="AS17:BA17"/>
    <mergeCell ref="AD18:AD19"/>
    <mergeCell ref="AE18:AE19"/>
    <mergeCell ref="AF18:AH18"/>
    <mergeCell ref="AI18:AJ18"/>
    <mergeCell ref="AM18:AP18"/>
    <mergeCell ref="AQ18:AR18"/>
    <mergeCell ref="AS18:AU19"/>
    <mergeCell ref="AV18:AX19"/>
    <mergeCell ref="AY18:BA19"/>
    <mergeCell ref="BB18:BB19"/>
    <mergeCell ref="AD21:AJ21"/>
    <mergeCell ref="AK21:AL21"/>
    <mergeCell ref="AM21:AR21"/>
    <mergeCell ref="AS21:BA21"/>
    <mergeCell ref="AD22:AD23"/>
    <mergeCell ref="AE22:AE23"/>
    <mergeCell ref="AF22:AH22"/>
    <mergeCell ref="AI22:AJ22"/>
    <mergeCell ref="AM22:AP22"/>
    <mergeCell ref="AQ22:AR22"/>
    <mergeCell ref="AS22:AU23"/>
    <mergeCell ref="AV22:AX23"/>
    <mergeCell ref="AY22:BA23"/>
    <mergeCell ref="BB22:BB23"/>
    <mergeCell ref="BB26:BB27"/>
    <mergeCell ref="AD25:AJ25"/>
    <mergeCell ref="AK25:AL25"/>
    <mergeCell ref="AM25:AR25"/>
    <mergeCell ref="AS25:BA25"/>
    <mergeCell ref="AD26:AD27"/>
    <mergeCell ref="AE26:AE27"/>
    <mergeCell ref="AF26:AH26"/>
    <mergeCell ref="AI26:AJ26"/>
    <mergeCell ref="AM26:AP26"/>
    <mergeCell ref="AQ26:AR26"/>
    <mergeCell ref="AS26:AU27"/>
    <mergeCell ref="AV26:AX27"/>
    <mergeCell ref="AY26:BA27"/>
  </mergeCells>
  <pageMargins left="0.7" right="0.7" top="0.75" bottom="0.75" header="0.3" footer="0.3"/>
  <pageSetup paperSize="9" orientation="portrait" horizontalDpi="4294967293"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CL34"/>
  <sheetViews>
    <sheetView zoomScale="85" zoomScaleNormal="85" workbookViewId="0"/>
  </sheetViews>
  <sheetFormatPr defaultRowHeight="14.4" x14ac:dyDescent="0.3"/>
  <cols>
    <col min="1" max="1" width="18" customWidth="1"/>
    <col min="3" max="3" width="12.21875" customWidth="1"/>
    <col min="4" max="4" width="12" customWidth="1"/>
    <col min="5" max="5" width="10.77734375" customWidth="1"/>
    <col min="6" max="6" width="10.109375" customWidth="1"/>
    <col min="7" max="8" width="8.88671875" customWidth="1"/>
    <col min="12" max="12" width="13.44140625" customWidth="1"/>
    <col min="13" max="14" width="13.21875" customWidth="1"/>
    <col min="15" max="15" width="18.109375" customWidth="1"/>
    <col min="19" max="19" width="3.109375" customWidth="1"/>
    <col min="20" max="20" width="6.21875" customWidth="1"/>
    <col min="21" max="21" width="3.44140625" customWidth="1"/>
    <col min="28" max="28" width="4.109375" customWidth="1"/>
    <col min="36" max="36" width="24" customWidth="1"/>
    <col min="50" max="51" width="21.77734375" customWidth="1"/>
    <col min="53" max="53" width="2.33203125" customWidth="1"/>
    <col min="56" max="56" width="2.33203125" customWidth="1"/>
    <col min="59" max="59" width="2.33203125" customWidth="1"/>
    <col min="61" max="61" width="10.33203125" customWidth="1"/>
    <col min="63" max="63" width="34.109375" style="87" customWidth="1"/>
    <col min="77" max="78" width="21.77734375" customWidth="1"/>
    <col min="80" max="80" width="2.33203125" customWidth="1"/>
    <col min="83" max="83" width="2.33203125" customWidth="1"/>
    <col min="86" max="86" width="2.44140625" customWidth="1"/>
    <col min="88" max="88" width="11" customWidth="1"/>
  </cols>
  <sheetData>
    <row r="1" spans="2:90" x14ac:dyDescent="0.3">
      <c r="B1" s="1" t="s">
        <v>79</v>
      </c>
    </row>
    <row r="2" spans="2:90" x14ac:dyDescent="0.3">
      <c r="B2" s="2" t="s">
        <v>80</v>
      </c>
      <c r="X2" s="3" t="s">
        <v>0</v>
      </c>
      <c r="Y2" s="3"/>
      <c r="AE2" s="3" t="s">
        <v>1</v>
      </c>
    </row>
    <row r="3" spans="2:90" x14ac:dyDescent="0.3">
      <c r="B3" s="4"/>
      <c r="C3" s="4"/>
      <c r="D3" s="4"/>
      <c r="E3" s="4"/>
      <c r="F3" s="4"/>
      <c r="G3" s="4"/>
      <c r="P3" s="127" t="s">
        <v>2</v>
      </c>
      <c r="Q3" s="127"/>
      <c r="X3" s="5" t="s">
        <v>106</v>
      </c>
      <c r="Y3" s="5"/>
      <c r="AE3" s="5" t="s">
        <v>3</v>
      </c>
      <c r="AF3" s="3"/>
      <c r="AK3" s="4" t="s">
        <v>4</v>
      </c>
    </row>
    <row r="4" spans="2:90" x14ac:dyDescent="0.3">
      <c r="B4" s="4"/>
      <c r="C4" s="4"/>
      <c r="D4" s="4"/>
      <c r="E4" s="4"/>
      <c r="F4" s="4"/>
      <c r="G4" s="6"/>
      <c r="H4" s="6"/>
      <c r="I4" s="4"/>
      <c r="P4" s="8" t="s">
        <v>5</v>
      </c>
      <c r="Q4" s="9" t="s">
        <v>6</v>
      </c>
      <c r="X4" s="5" t="s">
        <v>11</v>
      </c>
      <c r="Y4" s="5"/>
      <c r="AE4" s="5" t="s">
        <v>7</v>
      </c>
      <c r="AF4" s="5"/>
      <c r="AK4" s="4" t="s">
        <v>8</v>
      </c>
    </row>
    <row r="5" spans="2:90" x14ac:dyDescent="0.3">
      <c r="D5" s="6" t="s">
        <v>9</v>
      </c>
      <c r="E5" s="7" t="s">
        <v>6</v>
      </c>
      <c r="F5" s="7" t="s">
        <v>5</v>
      </c>
      <c r="G5" s="4" t="s">
        <v>10</v>
      </c>
      <c r="J5" s="10"/>
      <c r="K5" s="10"/>
      <c r="P5" s="11" t="str">
        <f>IF(AND(IFERROR(SEARCH("incr",$E$5&amp;$F$5),0),IFERROR(SEARCH("decr",$E$5&amp;$F$5),0)),"???",IF(IFERROR(SEARCH("incr",$E$5&amp;$F$5),0),0,IF(IFERROR(SEARCH("decr",$E$5&amp;$F$5),0),1,"???")))</f>
        <v>???</v>
      </c>
      <c r="Q5" s="11" t="str">
        <f>IF(AND(IFERROR(SEARCH("incr",$E$5&amp;$F$5),0),IFERROR(SEARCH("decr",$E$5&amp;$F$5),0)),"???",IF(IFERROR(SEARCH("incr",$E$5&amp;$F$5),0),1,IF(IFERROR(SEARCH("decr",$E$5&amp;$F$5),0),0,"???")))</f>
        <v>???</v>
      </c>
      <c r="Y5" s="5"/>
      <c r="AE5" s="5" t="s">
        <v>12</v>
      </c>
      <c r="AF5" s="5"/>
    </row>
    <row r="6" spans="2:90" x14ac:dyDescent="0.3">
      <c r="B6" s="4" t="s">
        <v>13</v>
      </c>
      <c r="D6" s="6"/>
      <c r="E6" s="6"/>
      <c r="F6" s="6"/>
      <c r="G6" s="6"/>
      <c r="J6" s="10"/>
      <c r="K6" s="10"/>
      <c r="P6" s="11"/>
      <c r="Q6" s="11"/>
      <c r="X6" s="5"/>
      <c r="Y6" s="5"/>
      <c r="AE6" s="5"/>
      <c r="AF6" s="5"/>
    </row>
    <row r="7" spans="2:90" ht="22.8" x14ac:dyDescent="0.3">
      <c r="D7" s="10"/>
      <c r="E7" s="10"/>
      <c r="F7" s="12"/>
      <c r="G7" s="4"/>
      <c r="Y7" s="5"/>
      <c r="AK7" s="13">
        <v>0</v>
      </c>
      <c r="AL7" s="14" t="s">
        <v>14</v>
      </c>
      <c r="AM7" s="15">
        <v>0.5</v>
      </c>
      <c r="AN7" s="14" t="s">
        <v>15</v>
      </c>
      <c r="AO7" s="15">
        <v>5</v>
      </c>
      <c r="AP7" s="14" t="s">
        <v>16</v>
      </c>
      <c r="AQ7" s="15">
        <v>25</v>
      </c>
      <c r="AR7" s="16" t="s">
        <v>17</v>
      </c>
      <c r="AS7" s="17">
        <f>100-AQ7</f>
        <v>75</v>
      </c>
      <c r="AT7" s="14" t="s">
        <v>18</v>
      </c>
      <c r="AU7" s="17">
        <f>100-AO7</f>
        <v>95</v>
      </c>
      <c r="AV7" s="14" t="s">
        <v>19</v>
      </c>
      <c r="AW7" s="17">
        <f>100-AM7</f>
        <v>99.5</v>
      </c>
      <c r="AX7" s="18" t="s">
        <v>20</v>
      </c>
    </row>
    <row r="8" spans="2:90" x14ac:dyDescent="0.3">
      <c r="L8" s="4" t="s">
        <v>110</v>
      </c>
      <c r="U8" s="20" t="s">
        <v>101</v>
      </c>
      <c r="W8" s="53"/>
      <c r="X8" s="53"/>
      <c r="Y8" s="53"/>
      <c r="AE8" s="3" t="s">
        <v>107</v>
      </c>
    </row>
    <row r="9" spans="2:90" ht="14.4" customHeight="1" x14ac:dyDescent="0.3">
      <c r="C9" s="128" t="s">
        <v>59</v>
      </c>
      <c r="D9" s="128"/>
      <c r="E9" s="128"/>
      <c r="F9" s="128"/>
      <c r="G9" s="128"/>
      <c r="H9" s="128"/>
      <c r="I9" s="128"/>
      <c r="J9" s="128"/>
      <c r="K9" s="128"/>
      <c r="L9" s="128"/>
      <c r="M9" s="128"/>
      <c r="N9" s="128"/>
      <c r="T9" s="21"/>
      <c r="U9" s="21"/>
      <c r="V9" s="22" t="s">
        <v>23</v>
      </c>
      <c r="W9" s="22" t="s">
        <v>24</v>
      </c>
      <c r="X9" s="22" t="s">
        <v>25</v>
      </c>
      <c r="Y9" s="22" t="s">
        <v>26</v>
      </c>
      <c r="Z9" s="22" t="s">
        <v>27</v>
      </c>
      <c r="AC9" s="22" t="s">
        <v>23</v>
      </c>
      <c r="AD9" s="22" t="s">
        <v>24</v>
      </c>
      <c r="AE9" s="22" t="s">
        <v>25</v>
      </c>
      <c r="AF9" s="22" t="s">
        <v>26</v>
      </c>
      <c r="AG9" s="22" t="s">
        <v>27</v>
      </c>
    </row>
    <row r="10" spans="2:90" ht="14.4" customHeight="1" x14ac:dyDescent="0.3">
      <c r="C10" s="128" t="s">
        <v>60</v>
      </c>
      <c r="D10" s="128" t="s">
        <v>21</v>
      </c>
      <c r="E10" s="19" t="s">
        <v>22</v>
      </c>
      <c r="F10" s="128" t="s">
        <v>61</v>
      </c>
      <c r="G10" s="128" t="s">
        <v>62</v>
      </c>
      <c r="H10" s="128" t="s">
        <v>63</v>
      </c>
      <c r="I10" s="128" t="s">
        <v>49</v>
      </c>
      <c r="J10" s="128" t="s">
        <v>47</v>
      </c>
      <c r="K10" s="128" t="s">
        <v>48</v>
      </c>
      <c r="L10" s="72" t="s">
        <v>64</v>
      </c>
      <c r="M10" s="72" t="s">
        <v>64</v>
      </c>
      <c r="N10" s="72" t="s">
        <v>64</v>
      </c>
      <c r="Q10" s="73" t="s">
        <v>65</v>
      </c>
      <c r="U10" s="23" t="s">
        <v>29</v>
      </c>
      <c r="V10" s="5">
        <v>0.9</v>
      </c>
      <c r="W10" s="5">
        <v>0.7</v>
      </c>
      <c r="X10" s="5">
        <v>0.5</v>
      </c>
      <c r="Y10" s="5">
        <v>0.3</v>
      </c>
      <c r="Z10" s="5">
        <v>0.1</v>
      </c>
      <c r="AC10" s="25">
        <f>-AC11</f>
        <v>-1</v>
      </c>
      <c r="AD10" s="25">
        <f t="shared" ref="AD10:AG10" si="0">-AD11</f>
        <v>-3</v>
      </c>
      <c r="AE10" s="25">
        <f t="shared" si="0"/>
        <v>-5</v>
      </c>
      <c r="AF10" s="25">
        <f t="shared" si="0"/>
        <v>-7</v>
      </c>
      <c r="AG10" s="25">
        <f t="shared" si="0"/>
        <v>-9</v>
      </c>
      <c r="AH10" s="26" t="s">
        <v>29</v>
      </c>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row>
    <row r="11" spans="2:90" ht="14.4" customHeight="1" x14ac:dyDescent="0.3">
      <c r="C11" s="128"/>
      <c r="D11" s="128"/>
      <c r="E11" s="19" t="s">
        <v>28</v>
      </c>
      <c r="F11" s="128"/>
      <c r="G11" s="128"/>
      <c r="H11" s="128"/>
      <c r="I11" s="128"/>
      <c r="J11" s="128"/>
      <c r="K11" s="128"/>
      <c r="L11" s="19" t="s">
        <v>21</v>
      </c>
      <c r="M11" s="19" t="s">
        <v>47</v>
      </c>
      <c r="N11" s="19" t="s">
        <v>48</v>
      </c>
      <c r="P11" s="21"/>
      <c r="Q11" s="74"/>
      <c r="R11" s="75" t="s">
        <v>21</v>
      </c>
      <c r="S11" s="52"/>
      <c r="U11" s="23" t="s">
        <v>30</v>
      </c>
      <c r="V11" s="24">
        <f>1/V10</f>
        <v>1.1111111111111112</v>
      </c>
      <c r="W11" s="24">
        <f t="shared" ref="W11:X11" si="1">1/W10</f>
        <v>1.4285714285714286</v>
      </c>
      <c r="X11" s="25">
        <f t="shared" si="1"/>
        <v>2</v>
      </c>
      <c r="Y11" s="25">
        <f>1/Y10</f>
        <v>3.3333333333333335</v>
      </c>
      <c r="Z11" s="76">
        <f>1/Z10</f>
        <v>10</v>
      </c>
      <c r="AC11" s="25">
        <v>1</v>
      </c>
      <c r="AD11" s="25">
        <v>3</v>
      </c>
      <c r="AE11" s="25">
        <v>5</v>
      </c>
      <c r="AF11" s="25">
        <v>7</v>
      </c>
      <c r="AG11" s="25">
        <v>9</v>
      </c>
      <c r="AH11" s="26" t="s">
        <v>30</v>
      </c>
    </row>
    <row r="12" spans="2:90" ht="14.4" customHeight="1" x14ac:dyDescent="0.3">
      <c r="C12" s="29" t="s">
        <v>88</v>
      </c>
      <c r="D12" s="27">
        <v>9.9070000000000005E-2</v>
      </c>
      <c r="E12" s="27">
        <v>0.13170000000000001</v>
      </c>
      <c r="F12" s="27">
        <v>251</v>
      </c>
      <c r="G12" s="27">
        <v>0.75</v>
      </c>
      <c r="H12" s="27">
        <v>0.4526</v>
      </c>
      <c r="I12" s="27">
        <v>0.1</v>
      </c>
      <c r="J12" s="27">
        <v>-0.11840000000000001</v>
      </c>
      <c r="K12" s="27">
        <v>0.3165</v>
      </c>
      <c r="L12" s="77">
        <v>1.1041000000000001</v>
      </c>
      <c r="M12" s="27">
        <v>0.88839999999999997</v>
      </c>
      <c r="N12" s="27">
        <v>1.3723000000000001</v>
      </c>
      <c r="P12" s="4"/>
      <c r="Q12" s="78" t="str">
        <f>C12</f>
        <v>Overall mean</v>
      </c>
      <c r="R12" s="79">
        <f>L12/(1+L12)</f>
        <v>0.5247374174231263</v>
      </c>
      <c r="S12" s="79"/>
      <c r="T12" s="79"/>
      <c r="U12" s="31"/>
    </row>
    <row r="13" spans="2:90" ht="15.6" customHeight="1" x14ac:dyDescent="0.3">
      <c r="C13" s="29"/>
      <c r="D13" s="27">
        <v>0</v>
      </c>
      <c r="E13" s="80" t="s">
        <v>66</v>
      </c>
      <c r="F13" s="80" t="s">
        <v>66</v>
      </c>
      <c r="G13" s="80" t="s">
        <v>66</v>
      </c>
      <c r="H13" s="80" t="s">
        <v>66</v>
      </c>
      <c r="I13" s="80" t="s">
        <v>66</v>
      </c>
      <c r="J13" s="80" t="s">
        <v>66</v>
      </c>
      <c r="K13" s="81" t="s">
        <v>66</v>
      </c>
      <c r="L13" s="80" t="s">
        <v>66</v>
      </c>
      <c r="M13" s="80" t="s">
        <v>66</v>
      </c>
      <c r="N13" s="80" t="s">
        <v>66</v>
      </c>
      <c r="P13" s="78"/>
      <c r="Q13" s="82"/>
      <c r="R13" s="83"/>
      <c r="S13" s="83"/>
      <c r="T13" s="83"/>
      <c r="U13" s="71"/>
      <c r="V13" s="32"/>
      <c r="W13" s="32"/>
      <c r="X13" s="33" t="s">
        <v>67</v>
      </c>
      <c r="Y13" s="33"/>
      <c r="Z13" s="32"/>
      <c r="AA13" s="32"/>
      <c r="AB13" s="34"/>
      <c r="AC13" s="32"/>
      <c r="AD13" s="32"/>
      <c r="AE13" s="33" t="s">
        <v>68</v>
      </c>
      <c r="AG13" s="32"/>
      <c r="AH13" s="32"/>
      <c r="AK13" s="92" t="s">
        <v>31</v>
      </c>
      <c r="AL13" s="93"/>
      <c r="AM13" s="93"/>
      <c r="AN13" s="93"/>
      <c r="AO13" s="93"/>
      <c r="AP13" s="93"/>
      <c r="AQ13" s="94"/>
      <c r="AR13" s="95" t="s">
        <v>32</v>
      </c>
      <c r="AS13" s="96"/>
      <c r="AT13" s="97" t="s">
        <v>33</v>
      </c>
      <c r="AU13" s="98"/>
      <c r="AV13" s="98"/>
      <c r="AW13" s="98"/>
      <c r="AX13" s="98"/>
      <c r="AY13" s="99"/>
      <c r="AZ13" s="100" t="s">
        <v>34</v>
      </c>
      <c r="BA13" s="101"/>
      <c r="BB13" s="101"/>
      <c r="BC13" s="101"/>
      <c r="BD13" s="101"/>
      <c r="BE13" s="101"/>
      <c r="BF13" s="101"/>
      <c r="BG13" s="101"/>
      <c r="BH13" s="102"/>
      <c r="BL13" s="92" t="s">
        <v>35</v>
      </c>
      <c r="BM13" s="93"/>
      <c r="BN13" s="93"/>
      <c r="BO13" s="93"/>
      <c r="BP13" s="93"/>
      <c r="BQ13" s="93"/>
      <c r="BR13" s="94"/>
      <c r="BS13" s="95" t="s">
        <v>32</v>
      </c>
      <c r="BT13" s="96"/>
      <c r="BU13" s="97" t="s">
        <v>36</v>
      </c>
      <c r="BV13" s="98"/>
      <c r="BW13" s="98"/>
      <c r="BX13" s="98"/>
      <c r="BY13" s="98"/>
      <c r="BZ13" s="99"/>
      <c r="CA13" s="100" t="s">
        <v>34</v>
      </c>
      <c r="CB13" s="101"/>
      <c r="CC13" s="101"/>
      <c r="CD13" s="101"/>
      <c r="CE13" s="101"/>
      <c r="CF13" s="101"/>
      <c r="CG13" s="101"/>
      <c r="CH13" s="101"/>
      <c r="CI13" s="102"/>
    </row>
    <row r="14" spans="2:90" ht="15.6" customHeight="1" x14ac:dyDescent="0.3">
      <c r="C14" s="29" t="s">
        <v>98</v>
      </c>
      <c r="D14" s="27">
        <v>-0.24049999999999999</v>
      </c>
      <c r="E14" s="27">
        <v>0.19059999999999999</v>
      </c>
      <c r="F14" s="27">
        <v>251</v>
      </c>
      <c r="G14" s="27">
        <v>-1.26</v>
      </c>
      <c r="H14" s="27">
        <v>0.2082</v>
      </c>
      <c r="I14" s="27">
        <v>0.1</v>
      </c>
      <c r="J14" s="27">
        <v>-0.55510000000000004</v>
      </c>
      <c r="K14" s="27">
        <v>7.4190000000000006E-2</v>
      </c>
      <c r="L14" s="27">
        <v>0.7863</v>
      </c>
      <c r="M14" s="27">
        <v>0.57399999999999995</v>
      </c>
      <c r="N14" s="27">
        <v>1.077</v>
      </c>
      <c r="P14" s="4"/>
      <c r="Q14" s="84" t="str">
        <f>C14</f>
        <v>Control mean</v>
      </c>
      <c r="R14" s="24">
        <f>L14/(1+L14)</f>
        <v>0.44018361977271453</v>
      </c>
      <c r="S14" s="24"/>
      <c r="T14" s="24"/>
      <c r="U14" s="30"/>
      <c r="V14" s="24"/>
      <c r="W14" s="4"/>
      <c r="X14" s="11" t="s">
        <v>37</v>
      </c>
      <c r="Y14" s="5"/>
      <c r="Z14" s="4"/>
      <c r="AA14" s="4"/>
      <c r="AC14" s="4"/>
      <c r="AD14" s="4"/>
      <c r="AE14" s="5" t="s">
        <v>69</v>
      </c>
      <c r="AF14" s="5"/>
      <c r="AG14" s="4"/>
      <c r="AH14" s="4"/>
      <c r="AK14" s="103" t="s">
        <v>38</v>
      </c>
      <c r="AL14" s="105" t="s">
        <v>39</v>
      </c>
      <c r="AM14" s="107" t="s">
        <v>40</v>
      </c>
      <c r="AN14" s="108"/>
      <c r="AO14" s="109"/>
      <c r="AP14" s="110" t="s">
        <v>41</v>
      </c>
      <c r="AQ14" s="110"/>
      <c r="AR14" s="35" t="s">
        <v>42</v>
      </c>
      <c r="AS14" s="36" t="s">
        <v>43</v>
      </c>
      <c r="AT14" s="107" t="str">
        <f>"Effect &amp; re-estimated "&amp;AQ16&amp;"% confidence limits"</f>
        <v>Effect &amp; re-estimated 90% confidence limits</v>
      </c>
      <c r="AU14" s="108"/>
      <c r="AV14" s="108"/>
      <c r="AW14" s="109"/>
      <c r="AX14" s="95" t="s">
        <v>44</v>
      </c>
      <c r="AY14" s="96"/>
      <c r="AZ14" s="111" t="e">
        <f>"...beneficial or
substantially "&amp;AR15</f>
        <v>#VALUE!</v>
      </c>
      <c r="BA14" s="112"/>
      <c r="BB14" s="113"/>
      <c r="BC14" s="117" t="s">
        <v>45</v>
      </c>
      <c r="BD14" s="117"/>
      <c r="BE14" s="118"/>
      <c r="BF14" s="121" t="e">
        <f>"...harmful or 
substantially "&amp;AS15</f>
        <v>#VALUE!</v>
      </c>
      <c r="BG14" s="122"/>
      <c r="BH14" s="123"/>
      <c r="BI14" s="90" t="s">
        <v>70</v>
      </c>
      <c r="BL14" s="103" t="s">
        <v>46</v>
      </c>
      <c r="BM14" s="105" t="s">
        <v>39</v>
      </c>
      <c r="BN14" s="107" t="s">
        <v>40</v>
      </c>
      <c r="BO14" s="108"/>
      <c r="BP14" s="109"/>
      <c r="BQ14" s="110" t="s">
        <v>41</v>
      </c>
      <c r="BR14" s="110"/>
      <c r="BS14" s="35" t="s">
        <v>42</v>
      </c>
      <c r="BT14" s="36" t="s">
        <v>43</v>
      </c>
      <c r="BU14" s="107" t="str">
        <f>"Effect &amp; re-estimated "&amp;BR16&amp;"% confidence limits"</f>
        <v>Effect &amp; re-estimated 90% confidence limits</v>
      </c>
      <c r="BV14" s="108"/>
      <c r="BW14" s="108"/>
      <c r="BX14" s="109"/>
      <c r="BY14" s="95" t="s">
        <v>44</v>
      </c>
      <c r="BZ14" s="96"/>
      <c r="CA14" s="111" t="e">
        <f>"...beneficial or
substantially "&amp;BS15</f>
        <v>#VALUE!</v>
      </c>
      <c r="CB14" s="112"/>
      <c r="CC14" s="113"/>
      <c r="CD14" s="117" t="s">
        <v>45</v>
      </c>
      <c r="CE14" s="117"/>
      <c r="CF14" s="118"/>
      <c r="CG14" s="121" t="e">
        <f>"...harmful or 
substantially "&amp;BT15</f>
        <v>#VALUE!</v>
      </c>
      <c r="CH14" s="122"/>
      <c r="CI14" s="123"/>
      <c r="CJ14" s="90" t="s">
        <v>70</v>
      </c>
    </row>
    <row r="15" spans="2:90" ht="15.6" customHeight="1" x14ac:dyDescent="0.3">
      <c r="C15" s="29" t="s">
        <v>99</v>
      </c>
      <c r="D15" s="27">
        <v>0.43859999999999999</v>
      </c>
      <c r="E15" s="27">
        <v>0.18179999999999999</v>
      </c>
      <c r="F15" s="27">
        <v>251</v>
      </c>
      <c r="G15" s="27">
        <v>2.41</v>
      </c>
      <c r="H15" s="27">
        <v>1.6500000000000001E-2</v>
      </c>
      <c r="I15" s="27">
        <v>0.1</v>
      </c>
      <c r="J15" s="27">
        <v>0.13850000000000001</v>
      </c>
      <c r="K15" s="27">
        <v>0.73870000000000002</v>
      </c>
      <c r="L15" s="27">
        <v>1.5506</v>
      </c>
      <c r="M15" s="27">
        <v>1.1485000000000001</v>
      </c>
      <c r="N15" s="27">
        <v>2.0933000000000002</v>
      </c>
      <c r="P15" s="4"/>
      <c r="Q15" s="84" t="str">
        <f>C15</f>
        <v>Exptal mean</v>
      </c>
      <c r="R15" s="24">
        <f>L15/(1+L15)</f>
        <v>0.60793538775190148</v>
      </c>
      <c r="S15" s="24"/>
      <c r="T15" s="24"/>
      <c r="U15" s="30"/>
      <c r="V15" s="37" t="s">
        <v>21</v>
      </c>
      <c r="W15" s="37" t="s">
        <v>47</v>
      </c>
      <c r="X15" s="37" t="s">
        <v>48</v>
      </c>
      <c r="Y15" s="38" t="s">
        <v>71</v>
      </c>
      <c r="Z15" s="37" t="s">
        <v>50</v>
      </c>
      <c r="AA15" s="37" t="s">
        <v>51</v>
      </c>
      <c r="AC15" s="37" t="s">
        <v>21</v>
      </c>
      <c r="AD15" s="37" t="s">
        <v>47</v>
      </c>
      <c r="AE15" s="37" t="s">
        <v>48</v>
      </c>
      <c r="AF15" s="37" t="s">
        <v>72</v>
      </c>
      <c r="AG15" s="39" t="s">
        <v>50</v>
      </c>
      <c r="AH15" s="39" t="s">
        <v>51</v>
      </c>
      <c r="AK15" s="104"/>
      <c r="AL15" s="106"/>
      <c r="AM15" s="40" t="s">
        <v>73</v>
      </c>
      <c r="AN15" s="41" t="s">
        <v>74</v>
      </c>
      <c r="AO15" s="42" t="s">
        <v>75</v>
      </c>
      <c r="AP15" s="43" t="s">
        <v>52</v>
      </c>
      <c r="AQ15" s="44" t="s">
        <v>53</v>
      </c>
      <c r="AR15" s="45" t="e">
        <f>IF(AR16&lt;1,"decr.","incr.")</f>
        <v>#VALUE!</v>
      </c>
      <c r="AS15" s="46" t="e">
        <f>IF(AS16&gt;1,"incr.","decr.")</f>
        <v>#VALUE!</v>
      </c>
      <c r="AT15" s="47" t="s">
        <v>54</v>
      </c>
      <c r="AU15" s="44" t="s">
        <v>76</v>
      </c>
      <c r="AV15" s="44" t="s">
        <v>77</v>
      </c>
      <c r="AW15" s="42" t="s">
        <v>75</v>
      </c>
      <c r="AX15" s="48" t="s">
        <v>55</v>
      </c>
      <c r="AY15" s="49" t="s">
        <v>56</v>
      </c>
      <c r="AZ15" s="114"/>
      <c r="BA15" s="115"/>
      <c r="BB15" s="116"/>
      <c r="BC15" s="119"/>
      <c r="BD15" s="119"/>
      <c r="BE15" s="120"/>
      <c r="BF15" s="124"/>
      <c r="BG15" s="125"/>
      <c r="BH15" s="126"/>
      <c r="BI15" s="91"/>
      <c r="BJ15" s="50" t="s">
        <v>57</v>
      </c>
      <c r="BL15" s="104"/>
      <c r="BM15" s="106"/>
      <c r="BN15" s="40" t="s">
        <v>73</v>
      </c>
      <c r="BO15" s="41" t="s">
        <v>74</v>
      </c>
      <c r="BP15" s="42" t="s">
        <v>78</v>
      </c>
      <c r="BQ15" s="43" t="s">
        <v>52</v>
      </c>
      <c r="BR15" s="44" t="s">
        <v>53</v>
      </c>
      <c r="BS15" s="45" t="e">
        <f>IF(BS16&lt;1,"decr.","incr.")</f>
        <v>#VALUE!</v>
      </c>
      <c r="BT15" s="46" t="e">
        <f>IF(BT16&gt;1,"incr.","decr.")</f>
        <v>#VALUE!</v>
      </c>
      <c r="BU15" s="47" t="s">
        <v>54</v>
      </c>
      <c r="BV15" s="44" t="s">
        <v>76</v>
      </c>
      <c r="BW15" s="44" t="s">
        <v>77</v>
      </c>
      <c r="BX15" s="42" t="s">
        <v>78</v>
      </c>
      <c r="BY15" s="48" t="s">
        <v>55</v>
      </c>
      <c r="BZ15" s="49" t="s">
        <v>56</v>
      </c>
      <c r="CA15" s="114"/>
      <c r="CB15" s="115"/>
      <c r="CC15" s="116"/>
      <c r="CD15" s="119"/>
      <c r="CE15" s="119"/>
      <c r="CF15" s="120"/>
      <c r="CG15" s="124"/>
      <c r="CH15" s="125"/>
      <c r="CI15" s="126"/>
      <c r="CJ15" s="91"/>
      <c r="CK15" s="51" t="s">
        <v>57</v>
      </c>
    </row>
    <row r="16" spans="2:90" ht="15.6" customHeight="1" x14ac:dyDescent="0.3">
      <c r="C16" s="29" t="s">
        <v>100</v>
      </c>
      <c r="D16" s="27">
        <v>0.67910000000000004</v>
      </c>
      <c r="E16" s="27">
        <v>0.26340000000000002</v>
      </c>
      <c r="F16" s="27">
        <v>251</v>
      </c>
      <c r="G16" s="27">
        <v>2.58</v>
      </c>
      <c r="H16" s="27">
        <v>1.0500000000000001E-2</v>
      </c>
      <c r="I16" s="27">
        <v>0.1</v>
      </c>
      <c r="J16" s="28">
        <v>0.24429999999999999</v>
      </c>
      <c r="K16" s="27">
        <v>1.1138999999999999</v>
      </c>
      <c r="L16" s="27">
        <v>1.9721</v>
      </c>
      <c r="M16" s="27">
        <v>1.2766999999999999</v>
      </c>
      <c r="N16" s="27">
        <v>3.0463</v>
      </c>
      <c r="P16" s="4"/>
      <c r="R16" s="4"/>
      <c r="S16" s="4"/>
      <c r="T16" s="4"/>
      <c r="U16" s="78" t="str">
        <f>C16</f>
        <v>Exptal/Control mean</v>
      </c>
      <c r="V16" s="53">
        <f>L14*L16/(1+L14*L16)/R14</f>
        <v>1.3811167110119478</v>
      </c>
      <c r="W16" s="53">
        <f>EXP(LN(V16)-_xlfn.T.INV.2T(I16,F16)*ABS(LN(V16))/ABS(G16))</f>
        <v>1.1233023999024467</v>
      </c>
      <c r="X16" s="53">
        <f>EXP(LN(V16)+_xlfn.T.INV.2T(I16,F16)*ABS(LN(V16))/ABS(G16))</f>
        <v>1.6981031729319864</v>
      </c>
      <c r="Y16" s="53">
        <f>SQRT(X16/W16)</f>
        <v>1.2295146090063467</v>
      </c>
      <c r="Z16" s="24">
        <f>$V$10</f>
        <v>0.9</v>
      </c>
      <c r="AA16" s="24">
        <f>$V$11</f>
        <v>1.1111111111111112</v>
      </c>
      <c r="AC16" s="54">
        <f>10*(2*SQRT(L16)/(1+SQRT(L16))-1)</f>
        <v>1.681621653580414</v>
      </c>
      <c r="AD16" s="54">
        <f>10*(2*SQRT(M16)/(1+SQRT(M16))-1)</f>
        <v>0.60993849228359043</v>
      </c>
      <c r="AE16" s="54">
        <f>10*(2*SQRT(N16)/(1+SQRT(N16))-1)</f>
        <v>2.7149949540283358</v>
      </c>
      <c r="AF16" s="54">
        <f>(AE16-AD16)/2</f>
        <v>1.0525282308723727</v>
      </c>
      <c r="AG16" s="25">
        <f>$AC$10</f>
        <v>-1</v>
      </c>
      <c r="AH16" s="25">
        <f>$AC$11</f>
        <v>1</v>
      </c>
      <c r="AJ16" s="23" t="str">
        <f>U16</f>
        <v>Exptal/Control mean</v>
      </c>
      <c r="AK16" s="55">
        <f>V16</f>
        <v>1.3811167110119478</v>
      </c>
      <c r="AL16" s="56">
        <f>F16</f>
        <v>251</v>
      </c>
      <c r="AM16" s="55">
        <f>W16</f>
        <v>1.1233023999024467</v>
      </c>
      <c r="AN16" s="55">
        <f>X16</f>
        <v>1.6981031729319864</v>
      </c>
      <c r="AO16" s="55">
        <f>SQRT(AN16/AM16)</f>
        <v>1.2295146090063467</v>
      </c>
      <c r="AP16" s="57">
        <f>100*(1-I16)</f>
        <v>90</v>
      </c>
      <c r="AQ16" s="58">
        <f>100-2*$AO$7</f>
        <v>90</v>
      </c>
      <c r="AR16" s="55" t="e">
        <f>$P$5*Z16+$Q$5*AA16</f>
        <v>#VALUE!</v>
      </c>
      <c r="AS16" s="55" t="e">
        <f>$Q$5*Z16+$P$5*AA16</f>
        <v>#VALUE!</v>
      </c>
      <c r="AT16" s="70">
        <f>AK16</f>
        <v>1.3811167110119478</v>
      </c>
      <c r="AU16" s="70">
        <f>EXP(LN(AK16)-TINV((100-AQ16)/100,AL16)*BJ16)</f>
        <v>1.1233023999024467</v>
      </c>
      <c r="AV16" s="70">
        <f>EXP(LN(AK16)+TINV((100-AQ16)/100,AL16)*BJ16)</f>
        <v>1.6981031729319864</v>
      </c>
      <c r="AW16" s="70">
        <f>SQRT(AV16/AU16)</f>
        <v>1.2295146090063467</v>
      </c>
      <c r="AX16" s="59" t="e">
        <f>IF(AZ16&lt;$AQ$7,IF(MAX(BC16,BF16)=BC16,BE16&amp;" trivial; don't use",BH16&amp;" harmful; don't use"),IF(BF16&lt;$AM$7,BB16&amp;" beneficial; use","unclear; don't use"))</f>
        <v>#VALUE!</v>
      </c>
      <c r="AY16" s="59" t="e">
        <f>IF(MIN(AZ16,BF16)&gt;$AO$7,"unclear",IF(MAX(AZ16,BC16,BF16)=AZ16,BB16&amp;" "&amp;AR15,IF(MAX(AZ16,BC16,BF16)=BC16,BE16&amp;" trivial",BH16&amp;" "&amp;AS15)))</f>
        <v>#VALUE!</v>
      </c>
      <c r="AZ16" s="60" t="e">
        <f>100*IF(LN(AR16)&gt;0,IF(LN(AK16)-LN(AR16)&gt;0,1-TDIST((LN(AK16)-LN(AR16))/BJ16,AL16,1),TDIST((LN(AR16)-LN(AK16))/BJ16,AL16,1)),IF(LN(AK16)-LN(AR16)&gt;0,TDIST((LN(AK16)-LN(AR16))/BJ16,AL16,1),1-TDIST((LN(AR16)-LN(AK16))/BJ16,AL16,1)))</f>
        <v>#VALUE!</v>
      </c>
      <c r="BA16" s="61" t="s">
        <v>58</v>
      </c>
      <c r="BB16" s="62" t="e">
        <f>IF(AZ16&lt;$AM$7,$AL$7,IF(AZ16&lt;$AO$7,$AN$7,IF(AZ16&lt;$AQ$7,$AP$7,IF(AZ16&lt;$AS$7,$AR$7,IF(AZ16&lt;$AU$7,$AT$7,IF(AZ16&lt;$AW$7,$AV$7,$AX$7))))))</f>
        <v>#VALUE!</v>
      </c>
      <c r="BC16" s="63" t="e">
        <f>100-AZ16-BF16</f>
        <v>#VALUE!</v>
      </c>
      <c r="BD16" s="61" t="s">
        <v>58</v>
      </c>
      <c r="BE16" s="62" t="e">
        <f>IF(BC16&lt;$AM$7,$AL$7,IF(BC16&lt;$AO$7,$AN$7,IF(BC16&lt;$AQ$7,$AP$7,IF(BC16&lt;$AS$7,$AR$7,IF(BC16&lt;$AU$7,$AT$7,IF(BC16&lt;$AW$7,$AV$7,$AX$7))))))</f>
        <v>#VALUE!</v>
      </c>
      <c r="BF16" s="60" t="e">
        <f>100*IF(LN(AS16)&gt;0,IF(LN(AK16)-LN(AS16)&gt;0,1-TDIST((LN(AK16)-LN(AS16))/BJ16,AL16,1),TDIST((LN(AS16)-LN(AK16))/BJ16,AL16,1)),IF(LN(AK16)-LN(AS16)&gt;0,TDIST((LN(AK16)-LN(AS16))/BJ16,AL16,1),1-TDIST((LN(AS16)-LN(AK16))/BJ16,AL16,1)))</f>
        <v>#VALUE!</v>
      </c>
      <c r="BG16" s="61" t="s">
        <v>58</v>
      </c>
      <c r="BH16" s="62" t="e">
        <f>IF(BF16&lt;$AM$7,$AL$7,IF(BF16&lt;$AO$7,$AN$7,IF(BF16&lt;$AQ$7,$AP$7,IF(BF16&lt;$AS$7,$AR$7,IF(BF16&lt;$AU$7,$AT$7,IF(BF16&lt;$AW$7,$AV$7,$AX$7))))))</f>
        <v>#VALUE!</v>
      </c>
      <c r="BI16" s="64" t="e">
        <f>AZ16/(100-AZ16)/(BF16/(100-BF16))</f>
        <v>#VALUE!</v>
      </c>
      <c r="BJ16" s="65">
        <f>(LN(AN16)-LN(AM16))/2/TINV(1-AP16/100,AL16)</f>
        <v>0.12515208636152567</v>
      </c>
      <c r="BK16" s="3" t="str">
        <f>U16</f>
        <v>Exptal/Control mean</v>
      </c>
      <c r="BL16" s="69">
        <f>AC16</f>
        <v>1.681621653580414</v>
      </c>
      <c r="BM16" s="56">
        <f>F16</f>
        <v>251</v>
      </c>
      <c r="BN16" s="69">
        <f>AD16</f>
        <v>0.60993849228359043</v>
      </c>
      <c r="BO16" s="69">
        <f>AE16</f>
        <v>2.7149949540283358</v>
      </c>
      <c r="BP16" s="69">
        <f>(BO16-BN16)/2</f>
        <v>1.0525282308723727</v>
      </c>
      <c r="BQ16" s="56">
        <f>100*(1-I16)</f>
        <v>90</v>
      </c>
      <c r="BR16" s="58">
        <f>100-2*$AO$7</f>
        <v>90</v>
      </c>
      <c r="BS16" s="55" t="e">
        <f>$P$5*AG16+$Q$5*AH16</f>
        <v>#VALUE!</v>
      </c>
      <c r="BT16" s="55" t="e">
        <f>$Q$5*AG16+$P$5*AH16</f>
        <v>#VALUE!</v>
      </c>
      <c r="BU16" s="70">
        <f>BL16</f>
        <v>1.681621653580414</v>
      </c>
      <c r="BV16" s="70">
        <f>10*(2*SQRT(EXP(LN(((1+BL16/10)/(1-BL16/10))^2)-TINV((100-BR16)/100,BM16)*CK16))/(1+SQRT(EXP(LN(((1+BL16/10)/(1-BL16/10))^2)-TINV((100-BR16)/100,BM16)*CK16)))-1)</f>
        <v>0.60992798947403948</v>
      </c>
      <c r="BW16" s="70">
        <f>10*(2*SQRT(EXP(LN(((1+BL16/10)/(1-BL16/10))^2)+TINV((100-BR16)/100,BM16)*CK16))/(1+SQRT(EXP(LN(((1+BL16/10)/(1-BL16/10))^2)+TINV((100-BR16)/100,BM16)*CK16)))-1)</f>
        <v>2.714985189071395</v>
      </c>
      <c r="BX16" s="70">
        <f>(BW16-BV16)/2</f>
        <v>1.0525285997986777</v>
      </c>
      <c r="BY16" s="59" t="e">
        <f>IF(CA16&lt;$AQ$7,IF(MAX(CD16,CG16)=CD16,CF16&amp;" trivial; don't use",CI16&amp;" harmful; don't use"),IF(CG16&lt;$AM$7,CC16&amp;" beneficial; use","unclear; don't use"))</f>
        <v>#VALUE!</v>
      </c>
      <c r="BZ16" s="59" t="e">
        <f>IF(MIN(CA16,CG16)&gt;$AO$7,"unclear",IF(MAX(CA16,CD16,CG16)=CA16,CC16&amp;" "&amp;BS15,IF(MAX(CA16,CD16,CG16)=CD16,CF16&amp;" trivial",CI16&amp;" "&amp;BT15)))</f>
        <v>#VALUE!</v>
      </c>
      <c r="CA16" s="66" t="e">
        <f>100*IF(LN(((1+BS16/10)/(1-BS16/10))^2)&gt;0,IF(LN(((1+BL16/10)/(1-BL16/10))^2)-LN(((1+BS16/10)/(1-BS16/10))^2)&gt;0,1-TDIST((LN(((1+BL16/10)/(1-BL16/10))^2)-LN(((1+BS16/10)/(1-BS16/10))^2))/CK16,BM16,1),TDIST((LN(((1+BS16/10)/(1-BS16/10))^2)-LN(((1+BL16/10)/(1-BL16/10))^2))/CK16,BM16,1)),IF(LN(((1+BL16/10)/(1-BL16/10))^2)-LN(((1+BS16/10)/(1-BS16/10))^2)&gt;0,TDIST((LN(((1+BL16/10)/(1-BL16/10))^2)-LN(((1+BS16/10)/(1-BS16/10))^2))/CK16,BM16,1),1-TDIST((LN(((1+BS16/10)/(1-BS16/10))^2)-LN(((1+BL16/10)/(1-BL16/10))^2))/CK16,BM16,1)))</f>
        <v>#VALUE!</v>
      </c>
      <c r="CB16" s="67" t="s">
        <v>58</v>
      </c>
      <c r="CC16" s="62" t="e">
        <f>IF(CA16&lt;$AM$7,$AL$7,IF(CA16&lt;$AO$7,$AN$7,IF(CA16&lt;$AQ$7,$AP$7,IF(CA16&lt;$AS$7,$AR$7,IF(CA16&lt;$AU$7,$AT$7,IF(CA16&lt;$AW$7,$AV$7,$AX$7))))))</f>
        <v>#VALUE!</v>
      </c>
      <c r="CD16" s="68" t="e">
        <f>100-CA16-CG16</f>
        <v>#VALUE!</v>
      </c>
      <c r="CE16" s="67" t="s">
        <v>58</v>
      </c>
      <c r="CF16" s="62" t="e">
        <f>IF(CD16&lt;$AM$7,$AL$7,IF(CD16&lt;$AO$7,$AN$7,IF(CD16&lt;$AQ$7,$AP$7,IF(CD16&lt;$AS$7,$AR$7,IF(CD16&lt;$AU$7,$AT$7,IF(CD16&lt;$AW$7,$AV$7,$AX$7))))))</f>
        <v>#VALUE!</v>
      </c>
      <c r="CG16" s="66" t="e">
        <f>100*IF(LN(((1+BT16/10)/(1-BT16/10))^2)&gt;0,IF(LN(((1+BL16/10)/(1-BL16/10))^2)-LN(((1+BT16/10)/(1-BT16/10))^2)&gt;0,1-TDIST((LN(((1+BL16/10)/(1-BL16/10))^2)-LN(((1+BT16/10)/(1-BT16/10))^2))/CK16,BM16,1),TDIST((LN(((1+BT16/10)/(1-BT16/10))^2)-LN(((1+BL16/10)/(1-BL16/10))^2))/CK16,BM16,1)),IF(LN(((1+BL16/10)/(1-BL16/10))^2)-LN(((1+BT16/10)/(1-BT16/10))^2)&gt;0,TDIST((LN(((1+BL16/10)/(1-BL16/10))^2)-LN(((1+BT16/10)/(1-BT16/10))^2))/CK16,BM16,1),1-TDIST((LN(((1+BT16/10)/(1-BT16/10))^2)-LN(((1+BL16/10)/(1-BL16/10))^2))/CK16,BM16,1)))</f>
        <v>#VALUE!</v>
      </c>
      <c r="CH16" s="67" t="s">
        <v>58</v>
      </c>
      <c r="CI16" s="62" t="e">
        <f>IF(CG16&lt;$AM$7,$AL$7,IF(CG16&lt;$AO$7,$AN$7,IF(CG16&lt;$AQ$7,$AP$7,IF(CG16&lt;$AS$7,$AR$7,IF(CG16&lt;$AU$7,$AT$7,IF(CG16&lt;$AW$7,$AV$7,$AX$7))))))</f>
        <v>#VALUE!</v>
      </c>
      <c r="CJ16" s="64" t="e">
        <f>CA16/(100-CA16)/(CG16/(100-CG16))</f>
        <v>#VALUE!</v>
      </c>
      <c r="CK16" s="65">
        <f>(LN(((1+BO16/10)/(1-BO16/10))^2)-LN(((1+BN16/10)/(1-BN16/10))^2))/2/TINV(1-BQ16/100,BM16)</f>
        <v>0.26337886750272449</v>
      </c>
      <c r="CL16" s="1" t="str">
        <f>U16</f>
        <v>Exptal/Control mean</v>
      </c>
    </row>
    <row r="17" spans="3:90" ht="15.6" x14ac:dyDescent="0.3">
      <c r="C17" s="29"/>
      <c r="D17" s="28">
        <v>0</v>
      </c>
      <c r="E17" s="27" t="s">
        <v>66</v>
      </c>
      <c r="F17" s="27" t="s">
        <v>66</v>
      </c>
      <c r="G17" s="28" t="s">
        <v>66</v>
      </c>
      <c r="H17" s="27" t="s">
        <v>66</v>
      </c>
      <c r="I17" s="27" t="s">
        <v>66</v>
      </c>
      <c r="J17" s="28" t="s">
        <v>66</v>
      </c>
      <c r="K17" s="27" t="s">
        <v>66</v>
      </c>
      <c r="L17" s="27" t="s">
        <v>66</v>
      </c>
      <c r="M17" s="27" t="s">
        <v>66</v>
      </c>
      <c r="N17" s="27" t="s">
        <v>66</v>
      </c>
      <c r="P17" s="78"/>
      <c r="Q17" s="82"/>
      <c r="R17" s="83"/>
      <c r="S17" s="83"/>
      <c r="T17" s="83"/>
      <c r="U17" s="71"/>
      <c r="V17" s="32"/>
      <c r="W17" s="32"/>
      <c r="X17" s="33" t="s">
        <v>67</v>
      </c>
      <c r="Y17" s="33"/>
      <c r="Z17" s="32"/>
      <c r="AA17" s="32"/>
      <c r="AB17" s="34"/>
      <c r="AC17" s="32"/>
      <c r="AD17" s="32"/>
      <c r="AE17" s="33" t="s">
        <v>68</v>
      </c>
      <c r="AG17" s="32"/>
      <c r="AH17" s="32"/>
      <c r="AJ17" s="10"/>
      <c r="AK17" s="92" t="s">
        <v>31</v>
      </c>
      <c r="AL17" s="93"/>
      <c r="AM17" s="93"/>
      <c r="AN17" s="93"/>
      <c r="AO17" s="93"/>
      <c r="AP17" s="93"/>
      <c r="AQ17" s="94"/>
      <c r="AR17" s="95" t="s">
        <v>32</v>
      </c>
      <c r="AS17" s="96"/>
      <c r="AT17" s="97" t="s">
        <v>33</v>
      </c>
      <c r="AU17" s="98"/>
      <c r="AV17" s="98"/>
      <c r="AW17" s="98"/>
      <c r="AX17" s="98"/>
      <c r="AY17" s="99"/>
      <c r="AZ17" s="100" t="s">
        <v>34</v>
      </c>
      <c r="BA17" s="101"/>
      <c r="BB17" s="101"/>
      <c r="BC17" s="101"/>
      <c r="BD17" s="101"/>
      <c r="BE17" s="101"/>
      <c r="BF17" s="101"/>
      <c r="BG17" s="101"/>
      <c r="BH17" s="102"/>
      <c r="BL17" s="92" t="s">
        <v>35</v>
      </c>
      <c r="BM17" s="93"/>
      <c r="BN17" s="93"/>
      <c r="BO17" s="93"/>
      <c r="BP17" s="93"/>
      <c r="BQ17" s="93"/>
      <c r="BR17" s="94"/>
      <c r="BS17" s="95" t="s">
        <v>32</v>
      </c>
      <c r="BT17" s="96"/>
      <c r="BU17" s="97" t="s">
        <v>36</v>
      </c>
      <c r="BV17" s="98"/>
      <c r="BW17" s="98"/>
      <c r="BX17" s="98"/>
      <c r="BY17" s="98"/>
      <c r="BZ17" s="99"/>
      <c r="CA17" s="100" t="s">
        <v>34</v>
      </c>
      <c r="CB17" s="101"/>
      <c r="CC17" s="101"/>
      <c r="CD17" s="101"/>
      <c r="CE17" s="101"/>
      <c r="CF17" s="101"/>
      <c r="CG17" s="101"/>
      <c r="CH17" s="101"/>
      <c r="CI17" s="102"/>
    </row>
    <row r="18" spans="3:90" ht="15.6" customHeight="1" x14ac:dyDescent="0.3">
      <c r="C18" s="29" t="s">
        <v>89</v>
      </c>
      <c r="D18" s="28">
        <v>-0.93359999999999999</v>
      </c>
      <c r="E18" s="27">
        <v>0.307</v>
      </c>
      <c r="F18" s="27">
        <v>251</v>
      </c>
      <c r="G18" s="28">
        <v>-3.04</v>
      </c>
      <c r="H18" s="27">
        <v>2.5999999999999999E-3</v>
      </c>
      <c r="I18" s="27">
        <v>0.1</v>
      </c>
      <c r="J18" s="28">
        <v>-1.4403999999999999</v>
      </c>
      <c r="K18" s="27">
        <v>-0.42680000000000001</v>
      </c>
      <c r="L18" s="27">
        <v>0.3931</v>
      </c>
      <c r="M18" s="27">
        <v>0.23680000000000001</v>
      </c>
      <c r="N18" s="27">
        <v>0.65259999999999996</v>
      </c>
      <c r="P18" s="4"/>
      <c r="Q18" s="84" t="str">
        <f>C18</f>
        <v>Control mean @ -1SD BaseTrain</v>
      </c>
      <c r="R18" s="24">
        <f>L18/(1+L18)</f>
        <v>0.28217644103079464</v>
      </c>
      <c r="S18" s="24"/>
      <c r="T18" s="24"/>
      <c r="U18" s="30"/>
      <c r="V18" s="24"/>
      <c r="W18" s="4"/>
      <c r="X18" s="11" t="s">
        <v>37</v>
      </c>
      <c r="Y18" s="5"/>
      <c r="Z18" s="4"/>
      <c r="AA18" s="4"/>
      <c r="AC18" s="4"/>
      <c r="AD18" s="4"/>
      <c r="AE18" s="5" t="s">
        <v>69</v>
      </c>
      <c r="AF18" s="5"/>
      <c r="AG18" s="4"/>
      <c r="AH18" s="4"/>
      <c r="AJ18" s="10"/>
      <c r="AK18" s="103" t="s">
        <v>38</v>
      </c>
      <c r="AL18" s="105" t="s">
        <v>39</v>
      </c>
      <c r="AM18" s="107" t="s">
        <v>40</v>
      </c>
      <c r="AN18" s="108"/>
      <c r="AO18" s="109"/>
      <c r="AP18" s="110" t="s">
        <v>41</v>
      </c>
      <c r="AQ18" s="110"/>
      <c r="AR18" s="35" t="s">
        <v>42</v>
      </c>
      <c r="AS18" s="36" t="s">
        <v>43</v>
      </c>
      <c r="AT18" s="107" t="str">
        <f>"Effect &amp; re-estimated "&amp;AQ20&amp;"% confidence limits"</f>
        <v>Effect &amp; re-estimated 90% confidence limits</v>
      </c>
      <c r="AU18" s="108"/>
      <c r="AV18" s="108"/>
      <c r="AW18" s="109"/>
      <c r="AX18" s="95" t="s">
        <v>44</v>
      </c>
      <c r="AY18" s="96"/>
      <c r="AZ18" s="111" t="e">
        <f>"...beneficial or
substantially "&amp;AR19</f>
        <v>#VALUE!</v>
      </c>
      <c r="BA18" s="112"/>
      <c r="BB18" s="113"/>
      <c r="BC18" s="117" t="s">
        <v>45</v>
      </c>
      <c r="BD18" s="117"/>
      <c r="BE18" s="118"/>
      <c r="BF18" s="121" t="e">
        <f>"...harmful or 
substantially "&amp;AS19</f>
        <v>#VALUE!</v>
      </c>
      <c r="BG18" s="122"/>
      <c r="BH18" s="123"/>
      <c r="BI18" s="90" t="s">
        <v>70</v>
      </c>
      <c r="BL18" s="103" t="s">
        <v>46</v>
      </c>
      <c r="BM18" s="105" t="s">
        <v>39</v>
      </c>
      <c r="BN18" s="107" t="s">
        <v>40</v>
      </c>
      <c r="BO18" s="108"/>
      <c r="BP18" s="109"/>
      <c r="BQ18" s="110" t="s">
        <v>41</v>
      </c>
      <c r="BR18" s="110"/>
      <c r="BS18" s="35" t="s">
        <v>42</v>
      </c>
      <c r="BT18" s="36" t="s">
        <v>43</v>
      </c>
      <c r="BU18" s="107" t="str">
        <f>"Effect &amp; re-estimated "&amp;BR20&amp;"% confidence limits"</f>
        <v>Effect &amp; re-estimated 90% confidence limits</v>
      </c>
      <c r="BV18" s="108"/>
      <c r="BW18" s="108"/>
      <c r="BX18" s="109"/>
      <c r="BY18" s="95" t="s">
        <v>44</v>
      </c>
      <c r="BZ18" s="96"/>
      <c r="CA18" s="111" t="e">
        <f>"...beneficial or
substantially "&amp;BS19</f>
        <v>#VALUE!</v>
      </c>
      <c r="CB18" s="112"/>
      <c r="CC18" s="113"/>
      <c r="CD18" s="117" t="s">
        <v>45</v>
      </c>
      <c r="CE18" s="117"/>
      <c r="CF18" s="118"/>
      <c r="CG18" s="121" t="e">
        <f>"...harmful or 
substantially "&amp;BT19</f>
        <v>#VALUE!</v>
      </c>
      <c r="CH18" s="122"/>
      <c r="CI18" s="123"/>
      <c r="CJ18" s="90" t="s">
        <v>70</v>
      </c>
    </row>
    <row r="19" spans="3:90" x14ac:dyDescent="0.3">
      <c r="C19" t="s">
        <v>90</v>
      </c>
      <c r="D19">
        <v>0.45269999999999999</v>
      </c>
      <c r="E19">
        <v>0.27139999999999997</v>
      </c>
      <c r="F19">
        <v>251</v>
      </c>
      <c r="G19">
        <v>1.67</v>
      </c>
      <c r="H19">
        <v>9.6600000000000005E-2</v>
      </c>
      <c r="I19">
        <v>0.1</v>
      </c>
      <c r="J19">
        <v>4.5370000000000002E-3</v>
      </c>
      <c r="K19">
        <v>0.90080000000000005</v>
      </c>
      <c r="L19">
        <v>1.5725</v>
      </c>
      <c r="M19">
        <v>1.0044999999999999</v>
      </c>
      <c r="N19">
        <v>2.4615999999999998</v>
      </c>
      <c r="P19" s="4"/>
      <c r="Q19" s="84" t="str">
        <f>C19</f>
        <v>Control mean @ +1SD BaseTrain</v>
      </c>
      <c r="R19" s="24">
        <f>L19/(1+L19)</f>
        <v>0.61127308066083585</v>
      </c>
      <c r="S19" s="24"/>
      <c r="T19" s="24"/>
      <c r="U19" s="30"/>
      <c r="V19" s="37" t="s">
        <v>21</v>
      </c>
      <c r="W19" s="37" t="s">
        <v>47</v>
      </c>
      <c r="X19" s="37" t="s">
        <v>48</v>
      </c>
      <c r="Y19" s="38" t="s">
        <v>71</v>
      </c>
      <c r="Z19" s="37" t="s">
        <v>50</v>
      </c>
      <c r="AA19" s="37" t="s">
        <v>51</v>
      </c>
      <c r="AC19" s="37" t="s">
        <v>21</v>
      </c>
      <c r="AD19" s="37" t="s">
        <v>47</v>
      </c>
      <c r="AE19" s="37" t="s">
        <v>48</v>
      </c>
      <c r="AF19" s="37" t="s">
        <v>72</v>
      </c>
      <c r="AG19" s="39" t="s">
        <v>50</v>
      </c>
      <c r="AH19" s="39" t="s">
        <v>51</v>
      </c>
      <c r="AJ19" s="10"/>
      <c r="AK19" s="104"/>
      <c r="AL19" s="106"/>
      <c r="AM19" s="40" t="s">
        <v>73</v>
      </c>
      <c r="AN19" s="41" t="s">
        <v>74</v>
      </c>
      <c r="AO19" s="42" t="s">
        <v>75</v>
      </c>
      <c r="AP19" s="43" t="s">
        <v>52</v>
      </c>
      <c r="AQ19" s="44" t="s">
        <v>53</v>
      </c>
      <c r="AR19" s="45" t="e">
        <f>IF(AR20&lt;1,"decr.","incr.")</f>
        <v>#VALUE!</v>
      </c>
      <c r="AS19" s="46" t="e">
        <f>IF(AS20&gt;1,"incr.","decr.")</f>
        <v>#VALUE!</v>
      </c>
      <c r="AT19" s="47" t="s">
        <v>54</v>
      </c>
      <c r="AU19" s="44" t="s">
        <v>76</v>
      </c>
      <c r="AV19" s="44" t="s">
        <v>77</v>
      </c>
      <c r="AW19" s="42" t="s">
        <v>75</v>
      </c>
      <c r="AX19" s="48" t="s">
        <v>55</v>
      </c>
      <c r="AY19" s="49" t="s">
        <v>56</v>
      </c>
      <c r="AZ19" s="114"/>
      <c r="BA19" s="115"/>
      <c r="BB19" s="116"/>
      <c r="BC19" s="119"/>
      <c r="BD19" s="119"/>
      <c r="BE19" s="120"/>
      <c r="BF19" s="124"/>
      <c r="BG19" s="125"/>
      <c r="BH19" s="126"/>
      <c r="BI19" s="91"/>
      <c r="BJ19" s="50" t="s">
        <v>57</v>
      </c>
      <c r="BL19" s="104"/>
      <c r="BM19" s="106"/>
      <c r="BN19" s="40" t="s">
        <v>73</v>
      </c>
      <c r="BO19" s="41" t="s">
        <v>74</v>
      </c>
      <c r="BP19" s="42" t="s">
        <v>78</v>
      </c>
      <c r="BQ19" s="43" t="s">
        <v>52</v>
      </c>
      <c r="BR19" s="44" t="s">
        <v>53</v>
      </c>
      <c r="BS19" s="45" t="e">
        <f>IF(BS20&lt;1,"decr.","incr.")</f>
        <v>#VALUE!</v>
      </c>
      <c r="BT19" s="46" t="e">
        <f>IF(BT20&gt;1,"incr.","decr.")</f>
        <v>#VALUE!</v>
      </c>
      <c r="BU19" s="47" t="s">
        <v>54</v>
      </c>
      <c r="BV19" s="44" t="s">
        <v>76</v>
      </c>
      <c r="BW19" s="44" t="s">
        <v>77</v>
      </c>
      <c r="BX19" s="42" t="s">
        <v>78</v>
      </c>
      <c r="BY19" s="48" t="s">
        <v>55</v>
      </c>
      <c r="BZ19" s="49" t="s">
        <v>56</v>
      </c>
      <c r="CA19" s="114"/>
      <c r="CB19" s="115"/>
      <c r="CC19" s="116"/>
      <c r="CD19" s="119"/>
      <c r="CE19" s="119"/>
      <c r="CF19" s="120"/>
      <c r="CG19" s="124"/>
      <c r="CH19" s="125"/>
      <c r="CI19" s="126"/>
      <c r="CJ19" s="91"/>
      <c r="CK19" s="51" t="s">
        <v>57</v>
      </c>
    </row>
    <row r="20" spans="3:90" x14ac:dyDescent="0.3">
      <c r="C20" t="s">
        <v>91</v>
      </c>
      <c r="D20">
        <v>1.3863000000000001</v>
      </c>
      <c r="E20">
        <v>0.4365</v>
      </c>
      <c r="F20">
        <v>251</v>
      </c>
      <c r="G20">
        <v>3.18</v>
      </c>
      <c r="H20">
        <v>1.6999999999999999E-3</v>
      </c>
      <c r="I20">
        <v>0.1</v>
      </c>
      <c r="J20">
        <v>0.66569999999999996</v>
      </c>
      <c r="K20">
        <v>2.1069</v>
      </c>
      <c r="L20">
        <v>4</v>
      </c>
      <c r="M20">
        <v>1.9458</v>
      </c>
      <c r="N20">
        <v>8.2231000000000005</v>
      </c>
      <c r="P20" s="4"/>
      <c r="R20" s="4"/>
      <c r="S20" s="4"/>
      <c r="T20" s="4"/>
      <c r="U20" s="78" t="str">
        <f>C20</f>
        <v>Control +1SD/-1SD BaseTrain</v>
      </c>
      <c r="V20" s="53">
        <f>L18*L20/(1+L18*L20)/R18</f>
        <v>2.1662260923651062</v>
      </c>
      <c r="W20" s="53">
        <f>EXP(LN(V20)-_xlfn.T.INV.2T(I20,F20)*ABS(LN(V20))/ABS(G20))</f>
        <v>1.4501665484294641</v>
      </c>
      <c r="X20" s="53">
        <f>EXP(LN(V20)+_xlfn.T.INV.2T(I20,F20)*ABS(LN(V20))/ABS(G20))</f>
        <v>3.2358596937196156</v>
      </c>
      <c r="Y20" s="53">
        <f>SQRT(X20/W20)</f>
        <v>1.4937774524665028</v>
      </c>
      <c r="Z20" s="24">
        <f>$V$10</f>
        <v>0.9</v>
      </c>
      <c r="AA20" s="24">
        <f>$V$11</f>
        <v>1.1111111111111112</v>
      </c>
      <c r="AC20" s="54">
        <f>10*(2*SQRT(L20)/(1+SQRT(L20))-1)</f>
        <v>3.3333333333333326</v>
      </c>
      <c r="AD20" s="54">
        <f>10*(2*SQRT(M20)/(1+SQRT(M20))-1)</f>
        <v>1.6489881051486477</v>
      </c>
      <c r="AE20" s="54">
        <f>10*(2*SQRT(N20)/(1+SQRT(N20))-1)</f>
        <v>4.8288274813111398</v>
      </c>
      <c r="AF20" s="54">
        <f>(AE20-AD20)/2</f>
        <v>1.5899196880812461</v>
      </c>
      <c r="AG20" s="25">
        <f>$AC$10</f>
        <v>-1</v>
      </c>
      <c r="AH20" s="25">
        <f>$AC$11</f>
        <v>1</v>
      </c>
      <c r="AJ20" s="23" t="str">
        <f>U20</f>
        <v>Control +1SD/-1SD BaseTrain</v>
      </c>
      <c r="AK20" s="55">
        <f>V20</f>
        <v>2.1662260923651062</v>
      </c>
      <c r="AL20" s="56">
        <f>F20</f>
        <v>251</v>
      </c>
      <c r="AM20" s="55">
        <f>W20</f>
        <v>1.4501665484294641</v>
      </c>
      <c r="AN20" s="55">
        <f>X20</f>
        <v>3.2358596937196156</v>
      </c>
      <c r="AO20" s="55">
        <f>SQRT(AN20/AM20)</f>
        <v>1.4937774524665028</v>
      </c>
      <c r="AP20" s="57">
        <f>100*(1-I20)</f>
        <v>90</v>
      </c>
      <c r="AQ20" s="58">
        <f>100-2*$AO$7</f>
        <v>90</v>
      </c>
      <c r="AR20" s="55" t="e">
        <f>$P$5*Z20+$Q$5*AA20</f>
        <v>#VALUE!</v>
      </c>
      <c r="AS20" s="55" t="e">
        <f>$Q$5*Z20+$P$5*AA20</f>
        <v>#VALUE!</v>
      </c>
      <c r="AT20" s="70">
        <f>AK20</f>
        <v>2.1662260923651062</v>
      </c>
      <c r="AU20" s="70">
        <f>EXP(LN(AK20)-TINV((100-AQ20)/100,AL20)*BJ20)</f>
        <v>1.4501665484294641</v>
      </c>
      <c r="AV20" s="70">
        <f>EXP(LN(AK20)+TINV((100-AQ20)/100,AL20)*BJ20)</f>
        <v>3.2358596937196156</v>
      </c>
      <c r="AW20" s="70">
        <f>SQRT(AV20/AU20)</f>
        <v>1.4937774524665028</v>
      </c>
      <c r="AX20" s="59" t="e">
        <f>IF(AZ20&lt;$AQ$7,IF(MAX(BC20,BF20)=BC20,BE20&amp;" trivial; don't use",BH20&amp;" harmful; don't use"),IF(BF20&lt;$AM$7,BB20&amp;" beneficial; use","unclear; don't use"))</f>
        <v>#VALUE!</v>
      </c>
      <c r="AY20" s="59" t="e">
        <f>IF(MIN(AZ20,BF20)&gt;$AO$7,"unclear",IF(MAX(AZ20,BC20,BF20)=AZ20,BB20&amp;" "&amp;AR19,IF(MAX(AZ20,BC20,BF20)=BC20,BE20&amp;" trivial",BH20&amp;" "&amp;AS19)))</f>
        <v>#VALUE!</v>
      </c>
      <c r="AZ20" s="60" t="e">
        <f>100*IF(LN(AR20)&gt;0,IF(LN(AK20)-LN(AR20)&gt;0,1-TDIST((LN(AK20)-LN(AR20))/BJ20,AL20,1),TDIST((LN(AR20)-LN(AK20))/BJ20,AL20,1)),IF(LN(AK20)-LN(AR20)&gt;0,TDIST((LN(AK20)-LN(AR20))/BJ20,AL20,1),1-TDIST((LN(AR20)-LN(AK20))/BJ20,AL20,1)))</f>
        <v>#VALUE!</v>
      </c>
      <c r="BA20" s="61" t="s">
        <v>58</v>
      </c>
      <c r="BB20" s="62" t="e">
        <f>IF(AZ20&lt;$AM$7,$AL$7,IF(AZ20&lt;$AO$7,$AN$7,IF(AZ20&lt;$AQ$7,$AP$7,IF(AZ20&lt;$AS$7,$AR$7,IF(AZ20&lt;$AU$7,$AT$7,IF(AZ20&lt;$AW$7,$AV$7,$AX$7))))))</f>
        <v>#VALUE!</v>
      </c>
      <c r="BC20" s="63" t="e">
        <f>100-AZ20-BF20</f>
        <v>#VALUE!</v>
      </c>
      <c r="BD20" s="61" t="s">
        <v>58</v>
      </c>
      <c r="BE20" s="62" t="e">
        <f>IF(BC20&lt;$AM$7,$AL$7,IF(BC20&lt;$AO$7,$AN$7,IF(BC20&lt;$AQ$7,$AP$7,IF(BC20&lt;$AS$7,$AR$7,IF(BC20&lt;$AU$7,$AT$7,IF(BC20&lt;$AW$7,$AV$7,$AX$7))))))</f>
        <v>#VALUE!</v>
      </c>
      <c r="BF20" s="60" t="e">
        <f>100*IF(LN(AS20)&gt;0,IF(LN(AK20)-LN(AS20)&gt;0,1-TDIST((LN(AK20)-LN(AS20))/BJ20,AL20,1),TDIST((LN(AS20)-LN(AK20))/BJ20,AL20,1)),IF(LN(AK20)-LN(AS20)&gt;0,TDIST((LN(AK20)-LN(AS20))/BJ20,AL20,1),1-TDIST((LN(AS20)-LN(AK20))/BJ20,AL20,1)))</f>
        <v>#VALUE!</v>
      </c>
      <c r="BG20" s="61" t="s">
        <v>58</v>
      </c>
      <c r="BH20" s="62" t="e">
        <f>IF(BF20&lt;$AM$7,$AL$7,IF(BF20&lt;$AO$7,$AN$7,IF(BF20&lt;$AQ$7,$AP$7,IF(BF20&lt;$AS$7,$AR$7,IF(BF20&lt;$AU$7,$AT$7,IF(BF20&lt;$AW$7,$AV$7,$AX$7))))))</f>
        <v>#VALUE!</v>
      </c>
      <c r="BI20" s="64" t="e">
        <f>AZ20/(100-AZ20)/(BF20/(100-BF20))</f>
        <v>#VALUE!</v>
      </c>
      <c r="BJ20" s="65">
        <f>(LN(AN20)-LN(AM20))/2/TINV(1-AP20/100,AL20)</f>
        <v>0.24307752376457914</v>
      </c>
      <c r="BK20" s="3" t="str">
        <f>U20</f>
        <v>Control +1SD/-1SD BaseTrain</v>
      </c>
      <c r="BL20" s="69">
        <f>AC20</f>
        <v>3.3333333333333326</v>
      </c>
      <c r="BM20" s="56">
        <f>F20</f>
        <v>251</v>
      </c>
      <c r="BN20" s="69">
        <f>AD20</f>
        <v>1.6489881051486477</v>
      </c>
      <c r="BO20" s="69">
        <f>AE20</f>
        <v>4.8288274813111398</v>
      </c>
      <c r="BP20" s="69">
        <f>(BO20-BN20)/2</f>
        <v>1.5899196880812461</v>
      </c>
      <c r="BQ20" s="56">
        <f>100*(1-I20)</f>
        <v>90</v>
      </c>
      <c r="BR20" s="58">
        <f>100-2*$AO$7</f>
        <v>90</v>
      </c>
      <c r="BS20" s="55" t="e">
        <f>$P$5*AG20+$Q$5*AH20</f>
        <v>#VALUE!</v>
      </c>
      <c r="BT20" s="55" t="e">
        <f>$Q$5*AG20+$P$5*AH20</f>
        <v>#VALUE!</v>
      </c>
      <c r="BU20" s="70">
        <f>BL20</f>
        <v>3.3333333333333326</v>
      </c>
      <c r="BV20" s="70">
        <f>10*(2*SQRT(EXP(LN(((1+BL20/10)/(1-BL20/10))^2)-TINV((100-BR20)/100,BM20)*CK20))/(1+SQRT(EXP(LN(((1+BL20/10)/(1-BL20/10))^2)-TINV((100-BR20)/100,BM20)*CK20)))-1)</f>
        <v>1.6489494989235709</v>
      </c>
      <c r="BW20" s="70">
        <f>10*(2*SQRT(EXP(LN(((1+BL20/10)/(1-BL20/10))^2)+TINV((100-BR20)/100,BM20)*CK20))/(1+SQRT(EXP(LN(((1+BL20/10)/(1-BL20/10))^2)+TINV((100-BR20)/100,BM20)*CK20)))-1)</f>
        <v>4.8287970495965826</v>
      </c>
      <c r="BX20" s="70">
        <f>(BW20-BV20)/2</f>
        <v>1.5899237753365059</v>
      </c>
      <c r="BY20" s="59" t="e">
        <f>IF(CA20&lt;$AQ$7,IF(MAX(CD20,CG20)=CD20,CF20&amp;" trivial; don't use",CI20&amp;" harmful; don't use"),IF(CG20&lt;$AM$7,CC20&amp;" beneficial; use","unclear; don't use"))</f>
        <v>#VALUE!</v>
      </c>
      <c r="BZ20" s="59" t="e">
        <f>IF(MIN(CA20,CG20)&gt;$AO$7,"unclear",IF(MAX(CA20,CD20,CG20)=CA20,CC20&amp;" "&amp;BS19,IF(MAX(CA20,CD20,CG20)=CD20,CF20&amp;" trivial",CI20&amp;" "&amp;BT19)))</f>
        <v>#VALUE!</v>
      </c>
      <c r="CA20" s="66" t="e">
        <f>100*IF(LN(((1+BS20/10)/(1-BS20/10))^2)&gt;0,IF(LN(((1+BL20/10)/(1-BL20/10))^2)-LN(((1+BS20/10)/(1-BS20/10))^2)&gt;0,1-TDIST((LN(((1+BL20/10)/(1-BL20/10))^2)-LN(((1+BS20/10)/(1-BS20/10))^2))/CK20,BM20,1),TDIST((LN(((1+BS20/10)/(1-BS20/10))^2)-LN(((1+BL20/10)/(1-BL20/10))^2))/CK20,BM20,1)),IF(LN(((1+BL20/10)/(1-BL20/10))^2)-LN(((1+BS20/10)/(1-BS20/10))^2)&gt;0,TDIST((LN(((1+BL20/10)/(1-BL20/10))^2)-LN(((1+BS20/10)/(1-BS20/10))^2))/CK20,BM20,1),1-TDIST((LN(((1+BS20/10)/(1-BS20/10))^2)-LN(((1+BL20/10)/(1-BL20/10))^2))/CK20,BM20,1)))</f>
        <v>#VALUE!</v>
      </c>
      <c r="CB20" s="67" t="s">
        <v>58</v>
      </c>
      <c r="CC20" s="62" t="e">
        <f>IF(CA20&lt;$AM$7,$AL$7,IF(CA20&lt;$AO$7,$AN$7,IF(CA20&lt;$AQ$7,$AP$7,IF(CA20&lt;$AS$7,$AR$7,IF(CA20&lt;$AU$7,$AT$7,IF(CA20&lt;$AW$7,$AV$7,$AX$7))))))</f>
        <v>#VALUE!</v>
      </c>
      <c r="CD20" s="68" t="e">
        <f>100-CA20-CG20</f>
        <v>#VALUE!</v>
      </c>
      <c r="CE20" s="67" t="s">
        <v>58</v>
      </c>
      <c r="CF20" s="62" t="e">
        <f>IF(CD20&lt;$AM$7,$AL$7,IF(CD20&lt;$AO$7,$AN$7,IF(CD20&lt;$AQ$7,$AP$7,IF(CD20&lt;$AS$7,$AR$7,IF(CD20&lt;$AU$7,$AT$7,IF(CD20&lt;$AW$7,$AV$7,$AX$7))))))</f>
        <v>#VALUE!</v>
      </c>
      <c r="CG20" s="66" t="e">
        <f>100*IF(LN(((1+BT20/10)/(1-BT20/10))^2)&gt;0,IF(LN(((1+BL20/10)/(1-BL20/10))^2)-LN(((1+BT20/10)/(1-BT20/10))^2)&gt;0,1-TDIST((LN(((1+BL20/10)/(1-BL20/10))^2)-LN(((1+BT20/10)/(1-BT20/10))^2))/CK20,BM20,1),TDIST((LN(((1+BT20/10)/(1-BT20/10))^2)-LN(((1+BL20/10)/(1-BL20/10))^2))/CK20,BM20,1)),IF(LN(((1+BL20/10)/(1-BL20/10))^2)-LN(((1+BT20/10)/(1-BT20/10))^2)&gt;0,TDIST((LN(((1+BL20/10)/(1-BL20/10))^2)-LN(((1+BT20/10)/(1-BT20/10))^2))/CK20,BM20,1),1-TDIST((LN(((1+BT20/10)/(1-BT20/10))^2)-LN(((1+BL20/10)/(1-BL20/10))^2))/CK20,BM20,1)))</f>
        <v>#VALUE!</v>
      </c>
      <c r="CH20" s="67" t="s">
        <v>58</v>
      </c>
      <c r="CI20" s="62" t="e">
        <f>IF(CG20&lt;$AM$7,$AL$7,IF(CG20&lt;$AO$7,$AN$7,IF(CG20&lt;$AQ$7,$AP$7,IF(CG20&lt;$AS$7,$AR$7,IF(CG20&lt;$AU$7,$AT$7,IF(CG20&lt;$AW$7,$AV$7,$AX$7))))))</f>
        <v>#VALUE!</v>
      </c>
      <c r="CJ20" s="64" t="e">
        <f>CA20/(100-CA20)/(CG20/(100-CG20))</f>
        <v>#VALUE!</v>
      </c>
      <c r="CK20" s="65">
        <f>(LN(((1+BO20/10)/(1-BO20/10))^2)-LN(((1+BN20/10)/(1-BN20/10))^2))/2/TINV(1-BQ20/100,BM20)</f>
        <v>0.43649918543079602</v>
      </c>
      <c r="CL20" s="1" t="str">
        <f>U20</f>
        <v>Control +1SD/-1SD BaseTrain</v>
      </c>
    </row>
    <row r="21" spans="3:90" ht="15.6" customHeight="1" x14ac:dyDescent="0.3">
      <c r="C21" s="29"/>
      <c r="D21" s="27">
        <v>0</v>
      </c>
      <c r="E21" s="80" t="s">
        <v>66</v>
      </c>
      <c r="F21" s="80" t="s">
        <v>66</v>
      </c>
      <c r="G21" s="80" t="s">
        <v>66</v>
      </c>
      <c r="H21" s="80" t="s">
        <v>66</v>
      </c>
      <c r="I21" s="80" t="s">
        <v>66</v>
      </c>
      <c r="J21" s="80" t="s">
        <v>66</v>
      </c>
      <c r="K21" s="81" t="s">
        <v>66</v>
      </c>
      <c r="L21" s="80" t="s">
        <v>66</v>
      </c>
      <c r="M21" s="80" t="s">
        <v>66</v>
      </c>
      <c r="N21" s="80" t="s">
        <v>66</v>
      </c>
      <c r="P21" s="78"/>
      <c r="Q21" s="82"/>
      <c r="R21" s="83"/>
      <c r="S21" s="83"/>
      <c r="T21" s="83"/>
      <c r="U21" s="71"/>
      <c r="V21" s="32"/>
      <c r="W21" s="32"/>
      <c r="X21" s="33" t="s">
        <v>67</v>
      </c>
      <c r="Y21" s="33"/>
      <c r="Z21" s="32"/>
      <c r="AA21" s="32"/>
      <c r="AB21" s="34"/>
      <c r="AC21" s="32"/>
      <c r="AD21" s="32"/>
      <c r="AE21" s="33" t="s">
        <v>68</v>
      </c>
      <c r="AG21" s="32"/>
      <c r="AH21" s="32"/>
      <c r="AJ21" s="10"/>
      <c r="AK21" s="92" t="s">
        <v>31</v>
      </c>
      <c r="AL21" s="93"/>
      <c r="AM21" s="93"/>
      <c r="AN21" s="93"/>
      <c r="AO21" s="93"/>
      <c r="AP21" s="93"/>
      <c r="AQ21" s="94"/>
      <c r="AR21" s="95" t="s">
        <v>32</v>
      </c>
      <c r="AS21" s="96"/>
      <c r="AT21" s="97" t="s">
        <v>33</v>
      </c>
      <c r="AU21" s="98"/>
      <c r="AV21" s="98"/>
      <c r="AW21" s="98"/>
      <c r="AX21" s="98"/>
      <c r="AY21" s="99"/>
      <c r="AZ21" s="100" t="s">
        <v>34</v>
      </c>
      <c r="BA21" s="101"/>
      <c r="BB21" s="101"/>
      <c r="BC21" s="101"/>
      <c r="BD21" s="101"/>
      <c r="BE21" s="101"/>
      <c r="BF21" s="101"/>
      <c r="BG21" s="101"/>
      <c r="BH21" s="102"/>
      <c r="BL21" s="92" t="s">
        <v>35</v>
      </c>
      <c r="BM21" s="93"/>
      <c r="BN21" s="93"/>
      <c r="BO21" s="93"/>
      <c r="BP21" s="93"/>
      <c r="BQ21" s="93"/>
      <c r="BR21" s="94"/>
      <c r="BS21" s="95" t="s">
        <v>32</v>
      </c>
      <c r="BT21" s="96"/>
      <c r="BU21" s="97" t="s">
        <v>36</v>
      </c>
      <c r="BV21" s="98"/>
      <c r="BW21" s="98"/>
      <c r="BX21" s="98"/>
      <c r="BY21" s="98"/>
      <c r="BZ21" s="99"/>
      <c r="CA21" s="100" t="s">
        <v>34</v>
      </c>
      <c r="CB21" s="101"/>
      <c r="CC21" s="101"/>
      <c r="CD21" s="101"/>
      <c r="CE21" s="101"/>
      <c r="CF21" s="101"/>
      <c r="CG21" s="101"/>
      <c r="CH21" s="101"/>
      <c r="CI21" s="102"/>
    </row>
    <row r="22" spans="3:90" ht="15.6" customHeight="1" x14ac:dyDescent="0.3">
      <c r="C22" s="29" t="s">
        <v>92</v>
      </c>
      <c r="D22" s="27">
        <v>0.1077</v>
      </c>
      <c r="E22" s="27">
        <v>0.24390000000000001</v>
      </c>
      <c r="F22" s="27">
        <v>251</v>
      </c>
      <c r="G22" s="27">
        <v>0.44</v>
      </c>
      <c r="H22" s="27">
        <v>0.65910000000000002</v>
      </c>
      <c r="I22" s="27">
        <v>0.1</v>
      </c>
      <c r="J22" s="27">
        <v>-0.29499999999999998</v>
      </c>
      <c r="K22" s="27">
        <v>0.51039999999999996</v>
      </c>
      <c r="L22" s="27">
        <v>1.1137999999999999</v>
      </c>
      <c r="M22" s="27">
        <v>0.74460000000000004</v>
      </c>
      <c r="N22" s="27">
        <v>1.6659999999999999</v>
      </c>
      <c r="P22" s="4"/>
      <c r="Q22" s="84" t="str">
        <f>C22</f>
        <v>Exptal mean @ -1SD BaseTrain</v>
      </c>
      <c r="R22" s="24">
        <f>L22/(1+L22)</f>
        <v>0.52691834610653798</v>
      </c>
      <c r="S22" s="24"/>
      <c r="T22" s="24"/>
      <c r="U22" s="30"/>
      <c r="V22" s="24"/>
      <c r="W22" s="4"/>
      <c r="X22" s="11" t="s">
        <v>37</v>
      </c>
      <c r="Y22" s="5"/>
      <c r="Z22" s="4"/>
      <c r="AA22" s="4"/>
      <c r="AC22" s="4"/>
      <c r="AD22" s="4"/>
      <c r="AE22" s="5" t="s">
        <v>69</v>
      </c>
      <c r="AF22" s="5"/>
      <c r="AG22" s="4"/>
      <c r="AH22" s="4"/>
      <c r="AJ22" s="10"/>
      <c r="AK22" s="103" t="s">
        <v>38</v>
      </c>
      <c r="AL22" s="105" t="s">
        <v>39</v>
      </c>
      <c r="AM22" s="107" t="s">
        <v>40</v>
      </c>
      <c r="AN22" s="108"/>
      <c r="AO22" s="109"/>
      <c r="AP22" s="110" t="s">
        <v>41</v>
      </c>
      <c r="AQ22" s="110"/>
      <c r="AR22" s="35" t="s">
        <v>42</v>
      </c>
      <c r="AS22" s="36" t="s">
        <v>43</v>
      </c>
      <c r="AT22" s="107" t="str">
        <f>"Effect &amp; re-estimated "&amp;AQ24&amp;"% confidence limits"</f>
        <v>Effect &amp; re-estimated 90% confidence limits</v>
      </c>
      <c r="AU22" s="108"/>
      <c r="AV22" s="108"/>
      <c r="AW22" s="109"/>
      <c r="AX22" s="95" t="s">
        <v>44</v>
      </c>
      <c r="AY22" s="96"/>
      <c r="AZ22" s="111" t="e">
        <f>"...beneficial or
substantially "&amp;AR23</f>
        <v>#VALUE!</v>
      </c>
      <c r="BA22" s="112"/>
      <c r="BB22" s="113"/>
      <c r="BC22" s="117" t="s">
        <v>45</v>
      </c>
      <c r="BD22" s="117"/>
      <c r="BE22" s="118"/>
      <c r="BF22" s="121" t="e">
        <f>"...harmful or 
substantially "&amp;AS23</f>
        <v>#VALUE!</v>
      </c>
      <c r="BG22" s="122"/>
      <c r="BH22" s="123"/>
      <c r="BI22" s="90" t="s">
        <v>70</v>
      </c>
      <c r="BL22" s="103" t="s">
        <v>46</v>
      </c>
      <c r="BM22" s="105" t="s">
        <v>39</v>
      </c>
      <c r="BN22" s="107" t="s">
        <v>40</v>
      </c>
      <c r="BO22" s="108"/>
      <c r="BP22" s="109"/>
      <c r="BQ22" s="110" t="s">
        <v>41</v>
      </c>
      <c r="BR22" s="110"/>
      <c r="BS22" s="35" t="s">
        <v>42</v>
      </c>
      <c r="BT22" s="36" t="s">
        <v>43</v>
      </c>
      <c r="BU22" s="107" t="str">
        <f>"Effect &amp; re-estimated "&amp;BR24&amp;"% confidence limits"</f>
        <v>Effect &amp; re-estimated 90% confidence limits</v>
      </c>
      <c r="BV22" s="108"/>
      <c r="BW22" s="108"/>
      <c r="BX22" s="109"/>
      <c r="BY22" s="95" t="s">
        <v>44</v>
      </c>
      <c r="BZ22" s="96"/>
      <c r="CA22" s="111" t="e">
        <f>"...beneficial or
substantially "&amp;BS23</f>
        <v>#VALUE!</v>
      </c>
      <c r="CB22" s="112"/>
      <c r="CC22" s="113"/>
      <c r="CD22" s="117" t="s">
        <v>45</v>
      </c>
      <c r="CE22" s="117"/>
      <c r="CF22" s="118"/>
      <c r="CG22" s="121" t="e">
        <f>"...harmful or 
substantially "&amp;BT23</f>
        <v>#VALUE!</v>
      </c>
      <c r="CH22" s="122"/>
      <c r="CI22" s="123"/>
      <c r="CJ22" s="90" t="s">
        <v>70</v>
      </c>
    </row>
    <row r="23" spans="3:90" ht="15.6" customHeight="1" x14ac:dyDescent="0.3">
      <c r="C23" s="29" t="s">
        <v>93</v>
      </c>
      <c r="D23" s="27">
        <v>0.76949999999999996</v>
      </c>
      <c r="E23" s="27">
        <v>0.26800000000000002</v>
      </c>
      <c r="F23" s="27">
        <v>251</v>
      </c>
      <c r="G23" s="27">
        <v>2.87</v>
      </c>
      <c r="H23" s="27">
        <v>4.4000000000000003E-3</v>
      </c>
      <c r="I23" s="27">
        <v>0.1</v>
      </c>
      <c r="J23" s="27">
        <v>0.32700000000000001</v>
      </c>
      <c r="K23" s="27">
        <v>1.212</v>
      </c>
      <c r="L23" s="27">
        <v>2.1587000000000001</v>
      </c>
      <c r="M23" s="27">
        <v>1.3868</v>
      </c>
      <c r="N23" s="27">
        <v>3.3601999999999999</v>
      </c>
      <c r="P23" s="4"/>
      <c r="Q23" s="84" t="str">
        <f>C23</f>
        <v>Exptal mean @ +1SD BaseTrain</v>
      </c>
      <c r="R23" s="24">
        <f>L23/(1+L23)</f>
        <v>0.68341406274733274</v>
      </c>
      <c r="S23" s="24"/>
      <c r="T23" s="24"/>
      <c r="U23" s="30"/>
      <c r="V23" s="37" t="s">
        <v>21</v>
      </c>
      <c r="W23" s="37" t="s">
        <v>47</v>
      </c>
      <c r="X23" s="37" t="s">
        <v>48</v>
      </c>
      <c r="Y23" s="38" t="s">
        <v>71</v>
      </c>
      <c r="Z23" s="37" t="s">
        <v>50</v>
      </c>
      <c r="AA23" s="37" t="s">
        <v>51</v>
      </c>
      <c r="AC23" s="37" t="s">
        <v>21</v>
      </c>
      <c r="AD23" s="37" t="s">
        <v>47</v>
      </c>
      <c r="AE23" s="37" t="s">
        <v>48</v>
      </c>
      <c r="AF23" s="37" t="s">
        <v>72</v>
      </c>
      <c r="AG23" s="39" t="s">
        <v>50</v>
      </c>
      <c r="AH23" s="39" t="s">
        <v>51</v>
      </c>
      <c r="AJ23" s="10"/>
      <c r="AK23" s="104"/>
      <c r="AL23" s="106"/>
      <c r="AM23" s="40" t="s">
        <v>73</v>
      </c>
      <c r="AN23" s="41" t="s">
        <v>74</v>
      </c>
      <c r="AO23" s="42" t="s">
        <v>75</v>
      </c>
      <c r="AP23" s="43" t="s">
        <v>52</v>
      </c>
      <c r="AQ23" s="44" t="s">
        <v>53</v>
      </c>
      <c r="AR23" s="45" t="e">
        <f>IF(AR24&lt;1,"decr.","incr.")</f>
        <v>#VALUE!</v>
      </c>
      <c r="AS23" s="46" t="e">
        <f>IF(AS24&gt;1,"incr.","decr.")</f>
        <v>#VALUE!</v>
      </c>
      <c r="AT23" s="47" t="s">
        <v>54</v>
      </c>
      <c r="AU23" s="44" t="s">
        <v>76</v>
      </c>
      <c r="AV23" s="44" t="s">
        <v>77</v>
      </c>
      <c r="AW23" s="42" t="s">
        <v>75</v>
      </c>
      <c r="AX23" s="48" t="s">
        <v>55</v>
      </c>
      <c r="AY23" s="49" t="s">
        <v>56</v>
      </c>
      <c r="AZ23" s="114"/>
      <c r="BA23" s="115"/>
      <c r="BB23" s="116"/>
      <c r="BC23" s="119"/>
      <c r="BD23" s="119"/>
      <c r="BE23" s="120"/>
      <c r="BF23" s="124"/>
      <c r="BG23" s="125"/>
      <c r="BH23" s="126"/>
      <c r="BI23" s="91"/>
      <c r="BJ23" s="50" t="s">
        <v>57</v>
      </c>
      <c r="BL23" s="104"/>
      <c r="BM23" s="106"/>
      <c r="BN23" s="40" t="s">
        <v>73</v>
      </c>
      <c r="BO23" s="41" t="s">
        <v>74</v>
      </c>
      <c r="BP23" s="42" t="s">
        <v>78</v>
      </c>
      <c r="BQ23" s="43" t="s">
        <v>52</v>
      </c>
      <c r="BR23" s="44" t="s">
        <v>53</v>
      </c>
      <c r="BS23" s="45" t="e">
        <f>IF(BS24&lt;1,"decr.","incr.")</f>
        <v>#VALUE!</v>
      </c>
      <c r="BT23" s="46" t="e">
        <f>IF(BT24&gt;1,"incr.","decr.")</f>
        <v>#VALUE!</v>
      </c>
      <c r="BU23" s="47" t="s">
        <v>54</v>
      </c>
      <c r="BV23" s="44" t="s">
        <v>76</v>
      </c>
      <c r="BW23" s="44" t="s">
        <v>77</v>
      </c>
      <c r="BX23" s="42" t="s">
        <v>78</v>
      </c>
      <c r="BY23" s="48" t="s">
        <v>55</v>
      </c>
      <c r="BZ23" s="49" t="s">
        <v>56</v>
      </c>
      <c r="CA23" s="114"/>
      <c r="CB23" s="115"/>
      <c r="CC23" s="116"/>
      <c r="CD23" s="119"/>
      <c r="CE23" s="119"/>
      <c r="CF23" s="120"/>
      <c r="CG23" s="124"/>
      <c r="CH23" s="125"/>
      <c r="CI23" s="126"/>
      <c r="CJ23" s="91"/>
      <c r="CK23" s="51" t="s">
        <v>57</v>
      </c>
    </row>
    <row r="24" spans="3:90" ht="15.6" customHeight="1" x14ac:dyDescent="0.3">
      <c r="C24" s="29" t="s">
        <v>94</v>
      </c>
      <c r="D24" s="27">
        <v>0.66169999999999995</v>
      </c>
      <c r="E24" s="27">
        <v>0.36120000000000002</v>
      </c>
      <c r="F24" s="27">
        <v>251</v>
      </c>
      <c r="G24" s="27">
        <v>1.83</v>
      </c>
      <c r="H24" s="27">
        <v>6.8199999999999997E-2</v>
      </c>
      <c r="I24" s="27">
        <v>0.1</v>
      </c>
      <c r="J24" s="28">
        <v>6.5350000000000005E-2</v>
      </c>
      <c r="K24" s="27">
        <v>1.2581</v>
      </c>
      <c r="L24" s="27">
        <v>1.9381999999999999</v>
      </c>
      <c r="M24" s="27">
        <v>1.0674999999999999</v>
      </c>
      <c r="N24" s="27">
        <v>3.5188999999999999</v>
      </c>
      <c r="P24" s="4"/>
      <c r="R24" s="4"/>
      <c r="S24" s="4"/>
      <c r="T24" s="4"/>
      <c r="U24" s="78" t="str">
        <f>C24</f>
        <v>Exptal +1SD/-1SD BaseTrain</v>
      </c>
      <c r="V24" s="53">
        <f>L22*L24/(1+L22*L24)/R22</f>
        <v>1.2970146112320604</v>
      </c>
      <c r="W24" s="53">
        <f>EXP(LN(V24)-_xlfn.T.INV.2T(I24,F24)*ABS(LN(V24))/ABS(G24))</f>
        <v>1.0257720996420083</v>
      </c>
      <c r="X24" s="53">
        <f>EXP(LN(V24)+_xlfn.T.INV.2T(I24,F24)*ABS(LN(V24))/ABS(G24))</f>
        <v>1.6399811442878514</v>
      </c>
      <c r="Y24" s="53">
        <f>SQRT(X24/W24)</f>
        <v>1.264427655699268</v>
      </c>
      <c r="Z24" s="24">
        <f>$V$10</f>
        <v>0.9</v>
      </c>
      <c r="AA24" s="24">
        <f>$V$11</f>
        <v>1.1111111111111112</v>
      </c>
      <c r="AC24" s="54">
        <f>10*(2*SQRT(L24)/(1+SQRT(L24))-1)</f>
        <v>1.639468867553513</v>
      </c>
      <c r="AD24" s="54">
        <f>10*(2*SQRT(M24)/(1+SQRT(M24))-1)</f>
        <v>0.16328415152852438</v>
      </c>
      <c r="AE24" s="54">
        <f>10*(2*SQRT(N24)/(1+SQRT(N24))-1)</f>
        <v>3.0455902970472581</v>
      </c>
      <c r="AF24" s="54">
        <f>(AE24-AD24)/2</f>
        <v>1.4411530727593669</v>
      </c>
      <c r="AG24" s="25">
        <f>$AC$10</f>
        <v>-1</v>
      </c>
      <c r="AH24" s="25">
        <f>$AC$11</f>
        <v>1</v>
      </c>
      <c r="AJ24" s="23" t="str">
        <f>U24</f>
        <v>Exptal +1SD/-1SD BaseTrain</v>
      </c>
      <c r="AK24" s="55">
        <f>V24</f>
        <v>1.2970146112320604</v>
      </c>
      <c r="AL24" s="56">
        <f>F24</f>
        <v>251</v>
      </c>
      <c r="AM24" s="55">
        <f>W24</f>
        <v>1.0257720996420083</v>
      </c>
      <c r="AN24" s="55">
        <f>X24</f>
        <v>1.6399811442878514</v>
      </c>
      <c r="AO24" s="55">
        <f>SQRT(AN24/AM24)</f>
        <v>1.264427655699268</v>
      </c>
      <c r="AP24" s="57">
        <f>100*(1-I24)</f>
        <v>90</v>
      </c>
      <c r="AQ24" s="58">
        <f>100-2*$AO$7</f>
        <v>90</v>
      </c>
      <c r="AR24" s="55" t="e">
        <f>$P$5*Z24+$Q$5*AA24</f>
        <v>#VALUE!</v>
      </c>
      <c r="AS24" s="55" t="e">
        <f>$Q$5*Z24+$P$5*AA24</f>
        <v>#VALUE!</v>
      </c>
      <c r="AT24" s="70">
        <f>AK24</f>
        <v>1.2970146112320604</v>
      </c>
      <c r="AU24" s="70">
        <f>EXP(LN(AK24)-TINV((100-AQ24)/100,AL24)*BJ24)</f>
        <v>1.0257720996420083</v>
      </c>
      <c r="AV24" s="70">
        <f>EXP(LN(AK24)+TINV((100-AQ24)/100,AL24)*BJ24)</f>
        <v>1.6399811442878514</v>
      </c>
      <c r="AW24" s="70">
        <f>SQRT(AV24/AU24)</f>
        <v>1.264427655699268</v>
      </c>
      <c r="AX24" s="59" t="e">
        <f>IF(AZ24&lt;$AQ$7,IF(MAX(BC24,BF24)=BC24,BE24&amp;" trivial; don't use",BH24&amp;" harmful; don't use"),IF(BF24&lt;$AM$7,BB24&amp;" beneficial; use","unclear; don't use"))</f>
        <v>#VALUE!</v>
      </c>
      <c r="AY24" s="59" t="e">
        <f>IF(MIN(AZ24,BF24)&gt;$AO$7,"unclear",IF(MAX(AZ24,BC24,BF24)=AZ24,BB24&amp;" "&amp;AR23,IF(MAX(AZ24,BC24,BF24)=BC24,BE24&amp;" trivial",BH24&amp;" "&amp;AS23)))</f>
        <v>#VALUE!</v>
      </c>
      <c r="AZ24" s="60" t="e">
        <f>100*IF(LN(AR24)&gt;0,IF(LN(AK24)-LN(AR24)&gt;0,1-TDIST((LN(AK24)-LN(AR24))/BJ24,AL24,1),TDIST((LN(AR24)-LN(AK24))/BJ24,AL24,1)),IF(LN(AK24)-LN(AR24)&gt;0,TDIST((LN(AK24)-LN(AR24))/BJ24,AL24,1),1-TDIST((LN(AR24)-LN(AK24))/BJ24,AL24,1)))</f>
        <v>#VALUE!</v>
      </c>
      <c r="BA24" s="61" t="s">
        <v>58</v>
      </c>
      <c r="BB24" s="62" t="e">
        <f>IF(AZ24&lt;$AM$7,$AL$7,IF(AZ24&lt;$AO$7,$AN$7,IF(AZ24&lt;$AQ$7,$AP$7,IF(AZ24&lt;$AS$7,$AR$7,IF(AZ24&lt;$AU$7,$AT$7,IF(AZ24&lt;$AW$7,$AV$7,$AX$7))))))</f>
        <v>#VALUE!</v>
      </c>
      <c r="BC24" s="63" t="e">
        <f>100-AZ24-BF24</f>
        <v>#VALUE!</v>
      </c>
      <c r="BD24" s="61" t="s">
        <v>58</v>
      </c>
      <c r="BE24" s="62" t="e">
        <f>IF(BC24&lt;$AM$7,$AL$7,IF(BC24&lt;$AO$7,$AN$7,IF(BC24&lt;$AQ$7,$AP$7,IF(BC24&lt;$AS$7,$AR$7,IF(BC24&lt;$AU$7,$AT$7,IF(BC24&lt;$AW$7,$AV$7,$AX$7))))))</f>
        <v>#VALUE!</v>
      </c>
      <c r="BF24" s="60" t="e">
        <f>100*IF(LN(AS24)&gt;0,IF(LN(AK24)-LN(AS24)&gt;0,1-TDIST((LN(AK24)-LN(AS24))/BJ24,AL24,1),TDIST((LN(AS24)-LN(AK24))/BJ24,AL24,1)),IF(LN(AK24)-LN(AS24)&gt;0,TDIST((LN(AK24)-LN(AS24))/BJ24,AL24,1),1-TDIST((LN(AS24)-LN(AK24))/BJ24,AL24,1)))</f>
        <v>#VALUE!</v>
      </c>
      <c r="BG24" s="61" t="s">
        <v>58</v>
      </c>
      <c r="BH24" s="62" t="e">
        <f>IF(BF24&lt;$AM$7,$AL$7,IF(BF24&lt;$AO$7,$AN$7,IF(BF24&lt;$AQ$7,$AP$7,IF(BF24&lt;$AS$7,$AR$7,IF(BF24&lt;$AU$7,$AT$7,IF(BF24&lt;$AW$7,$AV$7,$AX$7))))))</f>
        <v>#VALUE!</v>
      </c>
      <c r="BI24" s="64" t="e">
        <f>AZ24/(100-AZ24)/(BF24/(100-BF24))</f>
        <v>#VALUE!</v>
      </c>
      <c r="BJ24" s="65">
        <f>(LN(AN24)-LN(AM24))/2/TINV(1-AP24/100,AL24)</f>
        <v>0.14211211512416477</v>
      </c>
      <c r="BK24" s="3" t="str">
        <f>U24</f>
        <v>Exptal +1SD/-1SD BaseTrain</v>
      </c>
      <c r="BL24" s="69">
        <f>AC24</f>
        <v>1.639468867553513</v>
      </c>
      <c r="BM24" s="56">
        <f>F24</f>
        <v>251</v>
      </c>
      <c r="BN24" s="69">
        <f>AD24</f>
        <v>0.16328415152852438</v>
      </c>
      <c r="BO24" s="69">
        <f>AE24</f>
        <v>3.0455902970472581</v>
      </c>
      <c r="BP24" s="69">
        <f>(BO24-BN24)/2</f>
        <v>1.4411530727593669</v>
      </c>
      <c r="BQ24" s="56">
        <f>100*(1-I24)</f>
        <v>90</v>
      </c>
      <c r="BR24" s="58">
        <f>100-2*$AO$7</f>
        <v>90</v>
      </c>
      <c r="BS24" s="55" t="e">
        <f>$P$5*AG24+$Q$5*AH24</f>
        <v>#VALUE!</v>
      </c>
      <c r="BT24" s="55" t="e">
        <f>$Q$5*AG24+$P$5*AH24</f>
        <v>#VALUE!</v>
      </c>
      <c r="BU24" s="70">
        <f>BL24</f>
        <v>1.639468867553513</v>
      </c>
      <c r="BV24" s="70">
        <f>10*(2*SQRT(EXP(LN(((1+BL24/10)/(1-BL24/10))^2)-TINV((100-BR24)/100,BM24)*CK24))/(1+SQRT(EXP(LN(((1+BL24/10)/(1-BL24/10))^2)-TINV((100-BR24)/100,BM24)*CK24)))-1)</f>
        <v>0.16334851903604175</v>
      </c>
      <c r="BW24" s="70">
        <f>10*(2*SQRT(EXP(LN(((1+BL24/10)/(1-BL24/10))^2)+TINV((100-BR24)/100,BM24)*CK24))/(1+SQRT(EXP(LN(((1+BL24/10)/(1-BL24/10))^2)+TINV((100-BR24)/100,BM24)*CK24)))-1)</f>
        <v>3.0456487095346096</v>
      </c>
      <c r="BX24" s="70">
        <f>(BW24-BV24)/2</f>
        <v>1.4411500952492839</v>
      </c>
      <c r="BY24" s="59" t="e">
        <f>IF(CA24&lt;$AQ$7,IF(MAX(CD24,CG24)=CD24,CF24&amp;" trivial; don't use",CI24&amp;" harmful; don't use"),IF(CG24&lt;$AM$7,CC24&amp;" beneficial; use","unclear; don't use"))</f>
        <v>#VALUE!</v>
      </c>
      <c r="BZ24" s="59" t="e">
        <f>IF(MIN(CA24,CG24)&gt;$AO$7,"unclear",IF(MAX(CA24,CD24,CG24)=CA24,CC24&amp;" "&amp;BS23,IF(MAX(CA24,CD24,CG24)=CD24,CF24&amp;" trivial",CI24&amp;" "&amp;BT23)))</f>
        <v>#VALUE!</v>
      </c>
      <c r="CA24" s="66" t="e">
        <f>100*IF(LN(((1+BS24/10)/(1-BS24/10))^2)&gt;0,IF(LN(((1+BL24/10)/(1-BL24/10))^2)-LN(((1+BS24/10)/(1-BS24/10))^2)&gt;0,1-TDIST((LN(((1+BL24/10)/(1-BL24/10))^2)-LN(((1+BS24/10)/(1-BS24/10))^2))/CK24,BM24,1),TDIST((LN(((1+BS24/10)/(1-BS24/10))^2)-LN(((1+BL24/10)/(1-BL24/10))^2))/CK24,BM24,1)),IF(LN(((1+BL24/10)/(1-BL24/10))^2)-LN(((1+BS24/10)/(1-BS24/10))^2)&gt;0,TDIST((LN(((1+BL24/10)/(1-BL24/10))^2)-LN(((1+BS24/10)/(1-BS24/10))^2))/CK24,BM24,1),1-TDIST((LN(((1+BS24/10)/(1-BS24/10))^2)-LN(((1+BL24/10)/(1-BL24/10))^2))/CK24,BM24,1)))</f>
        <v>#VALUE!</v>
      </c>
      <c r="CB24" s="67" t="s">
        <v>58</v>
      </c>
      <c r="CC24" s="62" t="e">
        <f>IF(CA24&lt;$AM$7,$AL$7,IF(CA24&lt;$AO$7,$AN$7,IF(CA24&lt;$AQ$7,$AP$7,IF(CA24&lt;$AS$7,$AR$7,IF(CA24&lt;$AU$7,$AT$7,IF(CA24&lt;$AW$7,$AV$7,$AX$7))))))</f>
        <v>#VALUE!</v>
      </c>
      <c r="CD24" s="68" t="e">
        <f>100-CA24-CG24</f>
        <v>#VALUE!</v>
      </c>
      <c r="CE24" s="67" t="s">
        <v>58</v>
      </c>
      <c r="CF24" s="62" t="e">
        <f>IF(CD24&lt;$AM$7,$AL$7,IF(CD24&lt;$AO$7,$AN$7,IF(CD24&lt;$AQ$7,$AP$7,IF(CD24&lt;$AS$7,$AR$7,IF(CD24&lt;$AU$7,$AT$7,IF(CD24&lt;$AW$7,$AV$7,$AX$7))))))</f>
        <v>#VALUE!</v>
      </c>
      <c r="CG24" s="66" t="e">
        <f>100*IF(LN(((1+BT24/10)/(1-BT24/10))^2)&gt;0,IF(LN(((1+BL24/10)/(1-BL24/10))^2)-LN(((1+BT24/10)/(1-BT24/10))^2)&gt;0,1-TDIST((LN(((1+BL24/10)/(1-BL24/10))^2)-LN(((1+BT24/10)/(1-BT24/10))^2))/CK24,BM24,1),TDIST((LN(((1+BT24/10)/(1-BT24/10))^2)-LN(((1+BL24/10)/(1-BL24/10))^2))/CK24,BM24,1)),IF(LN(((1+BL24/10)/(1-BL24/10))^2)-LN(((1+BT24/10)/(1-BT24/10))^2)&gt;0,TDIST((LN(((1+BL24/10)/(1-BL24/10))^2)-LN(((1+BT24/10)/(1-BT24/10))^2))/CK24,BM24,1),1-TDIST((LN(((1+BT24/10)/(1-BT24/10))^2)-LN(((1+BL24/10)/(1-BL24/10))^2))/CK24,BM24,1)))</f>
        <v>#VALUE!</v>
      </c>
      <c r="CH24" s="67" t="s">
        <v>58</v>
      </c>
      <c r="CI24" s="62" t="e">
        <f>IF(CG24&lt;$AM$7,$AL$7,IF(CG24&lt;$AO$7,$AN$7,IF(CG24&lt;$AQ$7,$AP$7,IF(CG24&lt;$AS$7,$AR$7,IF(CG24&lt;$AU$7,$AT$7,IF(CG24&lt;$AW$7,$AV$7,$AX$7))))))</f>
        <v>#VALUE!</v>
      </c>
      <c r="CJ24" s="64" t="e">
        <f>CA24/(100-CA24)/(CG24/(100-CG24))</f>
        <v>#VALUE!</v>
      </c>
      <c r="CK24" s="65">
        <f>(LN(((1+BO24/10)/(1-BO24/10))^2)-LN(((1+BN24/10)/(1-BN24/10))^2))/2/TINV(1-BQ24/100,BM24)</f>
        <v>0.3612559810983762</v>
      </c>
      <c r="CL24" s="1" t="str">
        <f>U24</f>
        <v>Exptal +1SD/-1SD BaseTrain</v>
      </c>
    </row>
    <row r="25" spans="3:90" ht="15.6" x14ac:dyDescent="0.3">
      <c r="C25" s="29"/>
      <c r="D25" s="28">
        <v>0</v>
      </c>
      <c r="E25" s="27" t="s">
        <v>66</v>
      </c>
      <c r="F25" s="27" t="s">
        <v>66</v>
      </c>
      <c r="G25" s="28" t="s">
        <v>66</v>
      </c>
      <c r="H25" s="27" t="s">
        <v>66</v>
      </c>
      <c r="I25" s="27" t="s">
        <v>66</v>
      </c>
      <c r="J25" s="28" t="s">
        <v>66</v>
      </c>
      <c r="K25" s="27" t="s">
        <v>66</v>
      </c>
      <c r="L25" s="27" t="s">
        <v>66</v>
      </c>
      <c r="M25" s="27" t="s">
        <v>66</v>
      </c>
      <c r="N25" s="27" t="s">
        <v>66</v>
      </c>
      <c r="P25" s="78"/>
      <c r="Q25" s="82"/>
      <c r="R25" s="83"/>
      <c r="S25" s="83"/>
      <c r="T25" s="83"/>
      <c r="U25" s="71"/>
      <c r="V25" s="32"/>
      <c r="W25" s="32"/>
      <c r="X25" s="33" t="s">
        <v>67</v>
      </c>
      <c r="Y25" s="33"/>
      <c r="Z25" s="32"/>
      <c r="AA25" s="32"/>
      <c r="AB25" s="34"/>
      <c r="AC25" s="32"/>
      <c r="AD25" s="32"/>
      <c r="AE25" s="33" t="s">
        <v>68</v>
      </c>
      <c r="AG25" s="32"/>
      <c r="AH25" s="32"/>
      <c r="AJ25" s="10"/>
      <c r="AK25" s="92" t="s">
        <v>31</v>
      </c>
      <c r="AL25" s="93"/>
      <c r="AM25" s="93"/>
      <c r="AN25" s="93"/>
      <c r="AO25" s="93"/>
      <c r="AP25" s="93"/>
      <c r="AQ25" s="94"/>
      <c r="AR25" s="95" t="s">
        <v>32</v>
      </c>
      <c r="AS25" s="96"/>
      <c r="AT25" s="97" t="s">
        <v>33</v>
      </c>
      <c r="AU25" s="98"/>
      <c r="AV25" s="98"/>
      <c r="AW25" s="98"/>
      <c r="AX25" s="98"/>
      <c r="AY25" s="99"/>
      <c r="AZ25" s="100" t="s">
        <v>34</v>
      </c>
      <c r="BA25" s="101"/>
      <c r="BB25" s="101"/>
      <c r="BC25" s="101"/>
      <c r="BD25" s="101"/>
      <c r="BE25" s="101"/>
      <c r="BF25" s="101"/>
      <c r="BG25" s="101"/>
      <c r="BH25" s="102"/>
      <c r="BL25" s="92" t="s">
        <v>35</v>
      </c>
      <c r="BM25" s="93"/>
      <c r="BN25" s="93"/>
      <c r="BO25" s="93"/>
      <c r="BP25" s="93"/>
      <c r="BQ25" s="93"/>
      <c r="BR25" s="94"/>
      <c r="BS25" s="95" t="s">
        <v>32</v>
      </c>
      <c r="BT25" s="96"/>
      <c r="BU25" s="97" t="s">
        <v>36</v>
      </c>
      <c r="BV25" s="98"/>
      <c r="BW25" s="98"/>
      <c r="BX25" s="98"/>
      <c r="BY25" s="98"/>
      <c r="BZ25" s="99"/>
      <c r="CA25" s="100" t="s">
        <v>34</v>
      </c>
      <c r="CB25" s="101"/>
      <c r="CC25" s="101"/>
      <c r="CD25" s="101"/>
      <c r="CE25" s="101"/>
      <c r="CF25" s="101"/>
      <c r="CG25" s="101"/>
      <c r="CH25" s="101"/>
      <c r="CI25" s="102"/>
    </row>
    <row r="26" spans="3:90" ht="15.6" customHeight="1" x14ac:dyDescent="0.3">
      <c r="C26" s="29" t="s">
        <v>104</v>
      </c>
      <c r="D26" s="28">
        <v>-0.92500000000000004</v>
      </c>
      <c r="E26" s="27">
        <v>0.31569999999999998</v>
      </c>
      <c r="F26" s="27">
        <v>251</v>
      </c>
      <c r="G26" s="28">
        <v>-2.93</v>
      </c>
      <c r="H26" s="27">
        <v>3.7000000000000002E-3</v>
      </c>
      <c r="I26" s="27">
        <v>0.1</v>
      </c>
      <c r="J26" s="28">
        <v>-1.4460999999999999</v>
      </c>
      <c r="K26" s="27">
        <v>-0.40379999999999999</v>
      </c>
      <c r="L26" s="27">
        <v>0.39650000000000002</v>
      </c>
      <c r="M26" s="27">
        <v>0.23549999999999999</v>
      </c>
      <c r="N26" s="27">
        <v>0.66779999999999995</v>
      </c>
      <c r="P26" s="4"/>
      <c r="Q26" s="84" t="str">
        <f>C26</f>
        <v>Exptal/Control mean BaseTrain reference</v>
      </c>
      <c r="R26" s="24">
        <f>L26/(1+L26)</f>
        <v>0.28392409595417112</v>
      </c>
      <c r="S26" s="24"/>
      <c r="T26" s="24"/>
      <c r="U26" s="30"/>
      <c r="V26" s="24"/>
      <c r="W26" s="4"/>
      <c r="X26" s="11" t="s">
        <v>37</v>
      </c>
      <c r="Y26" s="5"/>
      <c r="Z26" s="4"/>
      <c r="AA26" s="4"/>
      <c r="AC26" s="4"/>
      <c r="AD26" s="4"/>
      <c r="AE26" s="5" t="s">
        <v>69</v>
      </c>
      <c r="AF26" s="5"/>
      <c r="AG26" s="4"/>
      <c r="AH26" s="4"/>
      <c r="AJ26" s="10"/>
      <c r="AK26" s="103" t="s">
        <v>38</v>
      </c>
      <c r="AL26" s="105" t="s">
        <v>39</v>
      </c>
      <c r="AM26" s="107" t="s">
        <v>40</v>
      </c>
      <c r="AN26" s="108"/>
      <c r="AO26" s="109"/>
      <c r="AP26" s="110" t="s">
        <v>41</v>
      </c>
      <c r="AQ26" s="110"/>
      <c r="AR26" s="35" t="s">
        <v>42</v>
      </c>
      <c r="AS26" s="36" t="s">
        <v>43</v>
      </c>
      <c r="AT26" s="107" t="str">
        <f>"Effect &amp; re-estimated "&amp;AQ28&amp;"% confidence limits"</f>
        <v>Effect &amp; re-estimated 90% confidence limits</v>
      </c>
      <c r="AU26" s="108"/>
      <c r="AV26" s="108"/>
      <c r="AW26" s="109"/>
      <c r="AX26" s="95" t="s">
        <v>44</v>
      </c>
      <c r="AY26" s="96"/>
      <c r="AZ26" s="111" t="e">
        <f>"...beneficial or
substantially "&amp;AR27</f>
        <v>#VALUE!</v>
      </c>
      <c r="BA26" s="112"/>
      <c r="BB26" s="113"/>
      <c r="BC26" s="117" t="s">
        <v>45</v>
      </c>
      <c r="BD26" s="117"/>
      <c r="BE26" s="118"/>
      <c r="BF26" s="121" t="e">
        <f>"...harmful or 
substantially "&amp;AS27</f>
        <v>#VALUE!</v>
      </c>
      <c r="BG26" s="122"/>
      <c r="BH26" s="123"/>
      <c r="BI26" s="90" t="s">
        <v>70</v>
      </c>
      <c r="BL26" s="103" t="s">
        <v>46</v>
      </c>
      <c r="BM26" s="105" t="s">
        <v>39</v>
      </c>
      <c r="BN26" s="107" t="s">
        <v>40</v>
      </c>
      <c r="BO26" s="108"/>
      <c r="BP26" s="109"/>
      <c r="BQ26" s="110" t="s">
        <v>41</v>
      </c>
      <c r="BR26" s="110"/>
      <c r="BS26" s="35" t="s">
        <v>42</v>
      </c>
      <c r="BT26" s="36" t="s">
        <v>43</v>
      </c>
      <c r="BU26" s="107" t="str">
        <f>"Effect &amp; re-estimated "&amp;BR28&amp;"% confidence limits"</f>
        <v>Effect &amp; re-estimated 90% confidence limits</v>
      </c>
      <c r="BV26" s="108"/>
      <c r="BW26" s="108"/>
      <c r="BX26" s="109"/>
      <c r="BY26" s="95" t="s">
        <v>44</v>
      </c>
      <c r="BZ26" s="96"/>
      <c r="CA26" s="111" t="e">
        <f>"...beneficial or
substantially "&amp;BS27</f>
        <v>#VALUE!</v>
      </c>
      <c r="CB26" s="112"/>
      <c r="CC26" s="113"/>
      <c r="CD26" s="117" t="s">
        <v>45</v>
      </c>
      <c r="CE26" s="117"/>
      <c r="CF26" s="118"/>
      <c r="CG26" s="121" t="e">
        <f>"...harmful or 
substantially "&amp;BT27</f>
        <v>#VALUE!</v>
      </c>
      <c r="CH26" s="122"/>
      <c r="CI26" s="123"/>
      <c r="CJ26" s="90" t="s">
        <v>70</v>
      </c>
    </row>
    <row r="27" spans="3:90" x14ac:dyDescent="0.3">
      <c r="C27" s="29" t="s">
        <v>85</v>
      </c>
      <c r="D27">
        <v>0</v>
      </c>
      <c r="E27" t="s">
        <v>66</v>
      </c>
      <c r="F27" t="s">
        <v>66</v>
      </c>
      <c r="G27" t="s">
        <v>66</v>
      </c>
      <c r="H27" t="s">
        <v>66</v>
      </c>
      <c r="I27" t="s">
        <v>66</v>
      </c>
      <c r="J27" t="s">
        <v>66</v>
      </c>
      <c r="K27" t="s">
        <v>66</v>
      </c>
      <c r="L27" t="s">
        <v>66</v>
      </c>
      <c r="M27" t="s">
        <v>66</v>
      </c>
      <c r="N27" t="s">
        <v>66</v>
      </c>
      <c r="P27" s="4"/>
      <c r="Q27" s="84" t="str">
        <f>C27</f>
        <v>blank</v>
      </c>
      <c r="R27" s="24" t="str">
        <f>IFERROR(L27/(1+L27),"")</f>
        <v/>
      </c>
      <c r="S27" s="24"/>
      <c r="T27" s="24"/>
      <c r="U27" s="30"/>
      <c r="V27" s="37" t="s">
        <v>21</v>
      </c>
      <c r="W27" s="37" t="s">
        <v>47</v>
      </c>
      <c r="X27" s="37" t="s">
        <v>48</v>
      </c>
      <c r="Y27" s="38" t="s">
        <v>71</v>
      </c>
      <c r="Z27" s="37" t="s">
        <v>50</v>
      </c>
      <c r="AA27" s="37" t="s">
        <v>51</v>
      </c>
      <c r="AC27" s="37" t="s">
        <v>21</v>
      </c>
      <c r="AD27" s="37" t="s">
        <v>47</v>
      </c>
      <c r="AE27" s="37" t="s">
        <v>48</v>
      </c>
      <c r="AF27" s="37" t="s">
        <v>72</v>
      </c>
      <c r="AG27" s="39" t="s">
        <v>50</v>
      </c>
      <c r="AH27" s="39" t="s">
        <v>51</v>
      </c>
      <c r="AJ27" s="10"/>
      <c r="AK27" s="104"/>
      <c r="AL27" s="106"/>
      <c r="AM27" s="40" t="s">
        <v>73</v>
      </c>
      <c r="AN27" s="41" t="s">
        <v>74</v>
      </c>
      <c r="AO27" s="42" t="s">
        <v>75</v>
      </c>
      <c r="AP27" s="43" t="s">
        <v>52</v>
      </c>
      <c r="AQ27" s="44" t="s">
        <v>53</v>
      </c>
      <c r="AR27" s="45" t="e">
        <f>IF(AR28&lt;1,"decr.","incr.")</f>
        <v>#VALUE!</v>
      </c>
      <c r="AS27" s="46" t="e">
        <f>IF(AS28&gt;1,"incr.","decr.")</f>
        <v>#VALUE!</v>
      </c>
      <c r="AT27" s="47" t="s">
        <v>54</v>
      </c>
      <c r="AU27" s="44" t="s">
        <v>76</v>
      </c>
      <c r="AV27" s="44" t="s">
        <v>77</v>
      </c>
      <c r="AW27" s="42" t="s">
        <v>75</v>
      </c>
      <c r="AX27" s="48" t="s">
        <v>55</v>
      </c>
      <c r="AY27" s="49" t="s">
        <v>56</v>
      </c>
      <c r="AZ27" s="114"/>
      <c r="BA27" s="115"/>
      <c r="BB27" s="116"/>
      <c r="BC27" s="119"/>
      <c r="BD27" s="119"/>
      <c r="BE27" s="120"/>
      <c r="BF27" s="124"/>
      <c r="BG27" s="125"/>
      <c r="BH27" s="126"/>
      <c r="BI27" s="91"/>
      <c r="BJ27" s="50" t="s">
        <v>57</v>
      </c>
      <c r="BL27" s="104"/>
      <c r="BM27" s="106"/>
      <c r="BN27" s="40" t="s">
        <v>73</v>
      </c>
      <c r="BO27" s="41" t="s">
        <v>74</v>
      </c>
      <c r="BP27" s="42" t="s">
        <v>78</v>
      </c>
      <c r="BQ27" s="43" t="s">
        <v>52</v>
      </c>
      <c r="BR27" s="44" t="s">
        <v>53</v>
      </c>
      <c r="BS27" s="45" t="e">
        <f>IF(BS28&lt;1,"decr.","incr.")</f>
        <v>#VALUE!</v>
      </c>
      <c r="BT27" s="46" t="e">
        <f>IF(BT28&gt;1,"incr.","decr.")</f>
        <v>#VALUE!</v>
      </c>
      <c r="BU27" s="47" t="s">
        <v>54</v>
      </c>
      <c r="BV27" s="44" t="s">
        <v>76</v>
      </c>
      <c r="BW27" s="44" t="s">
        <v>77</v>
      </c>
      <c r="BX27" s="42" t="s">
        <v>78</v>
      </c>
      <c r="BY27" s="48" t="s">
        <v>55</v>
      </c>
      <c r="BZ27" s="49" t="s">
        <v>56</v>
      </c>
      <c r="CA27" s="114"/>
      <c r="CB27" s="115"/>
      <c r="CC27" s="116"/>
      <c r="CD27" s="119"/>
      <c r="CE27" s="119"/>
      <c r="CF27" s="120"/>
      <c r="CG27" s="124"/>
      <c r="CH27" s="125"/>
      <c r="CI27" s="126"/>
      <c r="CJ27" s="91"/>
      <c r="CK27" s="51" t="s">
        <v>57</v>
      </c>
    </row>
    <row r="28" spans="3:90" x14ac:dyDescent="0.3">
      <c r="C28" s="29" t="s">
        <v>95</v>
      </c>
      <c r="D28">
        <v>-0.72460000000000002</v>
      </c>
      <c r="E28">
        <v>0.56659999999999999</v>
      </c>
      <c r="F28">
        <v>251</v>
      </c>
      <c r="G28">
        <v>-1.28</v>
      </c>
      <c r="H28">
        <v>0.20219999999999999</v>
      </c>
      <c r="I28">
        <v>0.1</v>
      </c>
      <c r="J28">
        <v>-1.66</v>
      </c>
      <c r="K28">
        <v>0.2109</v>
      </c>
      <c r="L28">
        <v>0.48449999999999999</v>
      </c>
      <c r="M28">
        <v>0.19009999999999999</v>
      </c>
      <c r="N28">
        <v>1.2346999999999999</v>
      </c>
      <c r="P28" s="4"/>
      <c r="R28" s="4"/>
      <c r="S28" s="4"/>
      <c r="T28" s="4"/>
      <c r="U28" s="78" t="str">
        <f>C28</f>
        <v>Exptal/Control +1SD/-1SD BaseTrain</v>
      </c>
      <c r="V28" s="53">
        <f>L26*L28/(1+L26*L28)/R26</f>
        <v>0.56757137641275923</v>
      </c>
      <c r="W28" s="53">
        <f>EXP(LN(V28)-_xlfn.T.INV.2T(I28,F28)*ABS(LN(V28))/ABS(G28))</f>
        <v>0.27337294129783496</v>
      </c>
      <c r="X28" s="53">
        <f>EXP(LN(V28)+_xlfn.T.INV.2T(I28,F28)*ABS(LN(V28))/ABS(G28))</f>
        <v>1.178380222247787</v>
      </c>
      <c r="Y28" s="53">
        <f>SQRT(X28/W28)</f>
        <v>2.0761797920387455</v>
      </c>
      <c r="Z28" s="24">
        <f>$V$10</f>
        <v>0.9</v>
      </c>
      <c r="AA28" s="24">
        <f>$V$11</f>
        <v>1.1111111111111112</v>
      </c>
      <c r="AC28" s="54">
        <f>10*(2*SQRT(L28)/(1+SQRT(L28))-1)</f>
        <v>-1.7920332798527971</v>
      </c>
      <c r="AD28" s="54">
        <f>10*(2*SQRT(M28)/(1+SQRT(M28))-1)</f>
        <v>-3.9275321118204021</v>
      </c>
      <c r="AE28" s="54">
        <f>10*(2*SQRT(N28)/(1+SQRT(N28))-1)</f>
        <v>0.52658253383027542</v>
      </c>
      <c r="AF28" s="54">
        <f>(AE28-AD28)/2</f>
        <v>2.2270573228253387</v>
      </c>
      <c r="AG28" s="25">
        <f>$AC$10</f>
        <v>-1</v>
      </c>
      <c r="AH28" s="25">
        <f>$AC$11</f>
        <v>1</v>
      </c>
      <c r="AJ28" s="23" t="str">
        <f>U28</f>
        <v>Exptal/Control +1SD/-1SD BaseTrain</v>
      </c>
      <c r="AK28" s="55">
        <f>V28</f>
        <v>0.56757137641275923</v>
      </c>
      <c r="AL28" s="56">
        <f>F28</f>
        <v>251</v>
      </c>
      <c r="AM28" s="55">
        <f>W28</f>
        <v>0.27337294129783496</v>
      </c>
      <c r="AN28" s="55">
        <f>X28</f>
        <v>1.178380222247787</v>
      </c>
      <c r="AO28" s="55">
        <f>SQRT(AN28/AM28)</f>
        <v>2.0761797920387455</v>
      </c>
      <c r="AP28" s="57">
        <f>100*(1-I28)</f>
        <v>90</v>
      </c>
      <c r="AQ28" s="58">
        <f>100-2*$AO$7</f>
        <v>90</v>
      </c>
      <c r="AR28" s="55" t="e">
        <f>$P$5*Z28+$Q$5*AA28</f>
        <v>#VALUE!</v>
      </c>
      <c r="AS28" s="55" t="e">
        <f>$Q$5*Z28+$P$5*AA28</f>
        <v>#VALUE!</v>
      </c>
      <c r="AT28" s="70">
        <f>AK28</f>
        <v>0.56757137641275923</v>
      </c>
      <c r="AU28" s="70">
        <f>EXP(LN(AK28)-TINV((100-AQ28)/100,AL28)*BJ28)</f>
        <v>0.27337294129783496</v>
      </c>
      <c r="AV28" s="70">
        <f>EXP(LN(AK28)+TINV((100-AQ28)/100,AL28)*BJ28)</f>
        <v>1.178380222247787</v>
      </c>
      <c r="AW28" s="70">
        <f>SQRT(AV28/AU28)</f>
        <v>2.0761797920387455</v>
      </c>
      <c r="AX28" s="59" t="e">
        <f>IF(AZ28&lt;$AQ$7,IF(MAX(BC28,BF28)=BC28,BE28&amp;" trivial; don't use",BH28&amp;" harmful; don't use"),IF(BF28&lt;$AM$7,BB28&amp;" beneficial; use","unclear; don't use"))</f>
        <v>#VALUE!</v>
      </c>
      <c r="AY28" s="59" t="e">
        <f>IF(MIN(AZ28,BF28)&gt;$AO$7,"unclear",IF(MAX(AZ28,BC28,BF28)=AZ28,BB28&amp;" "&amp;AR27,IF(MAX(AZ28,BC28,BF28)=BC28,BE28&amp;" trivial",BH28&amp;" "&amp;AS27)))</f>
        <v>#VALUE!</v>
      </c>
      <c r="AZ28" s="60" t="e">
        <f>100*IF(LN(AR28)&gt;0,IF(LN(AK28)-LN(AR28)&gt;0,1-TDIST((LN(AK28)-LN(AR28))/BJ28,AL28,1),TDIST((LN(AR28)-LN(AK28))/BJ28,AL28,1)),IF(LN(AK28)-LN(AR28)&gt;0,TDIST((LN(AK28)-LN(AR28))/BJ28,AL28,1),1-TDIST((LN(AR28)-LN(AK28))/BJ28,AL28,1)))</f>
        <v>#VALUE!</v>
      </c>
      <c r="BA28" s="61" t="s">
        <v>58</v>
      </c>
      <c r="BB28" s="62" t="e">
        <f>IF(AZ28&lt;$AM$7,$AL$7,IF(AZ28&lt;$AO$7,$AN$7,IF(AZ28&lt;$AQ$7,$AP$7,IF(AZ28&lt;$AS$7,$AR$7,IF(AZ28&lt;$AU$7,$AT$7,IF(AZ28&lt;$AW$7,$AV$7,$AX$7))))))</f>
        <v>#VALUE!</v>
      </c>
      <c r="BC28" s="63" t="e">
        <f>100-AZ28-BF28</f>
        <v>#VALUE!</v>
      </c>
      <c r="BD28" s="61" t="s">
        <v>58</v>
      </c>
      <c r="BE28" s="62" t="e">
        <f>IF(BC28&lt;$AM$7,$AL$7,IF(BC28&lt;$AO$7,$AN$7,IF(BC28&lt;$AQ$7,$AP$7,IF(BC28&lt;$AS$7,$AR$7,IF(BC28&lt;$AU$7,$AT$7,IF(BC28&lt;$AW$7,$AV$7,$AX$7))))))</f>
        <v>#VALUE!</v>
      </c>
      <c r="BF28" s="60" t="e">
        <f>100*IF(LN(AS28)&gt;0,IF(LN(AK28)-LN(AS28)&gt;0,1-TDIST((LN(AK28)-LN(AS28))/BJ28,AL28,1),TDIST((LN(AS28)-LN(AK28))/BJ28,AL28,1)),IF(LN(AK28)-LN(AS28)&gt;0,TDIST((LN(AK28)-LN(AS28))/BJ28,AL28,1),1-TDIST((LN(AS28)-LN(AK28))/BJ28,AL28,1)))</f>
        <v>#VALUE!</v>
      </c>
      <c r="BG28" s="61" t="s">
        <v>58</v>
      </c>
      <c r="BH28" s="62" t="e">
        <f>IF(BF28&lt;$AM$7,$AL$7,IF(BF28&lt;$AO$7,$AN$7,IF(BF28&lt;$AQ$7,$AP$7,IF(BF28&lt;$AS$7,$AR$7,IF(BF28&lt;$AU$7,$AT$7,IF(BF28&lt;$AW$7,$AV$7,$AX$7))))))</f>
        <v>#VALUE!</v>
      </c>
      <c r="BI28" s="64" t="e">
        <f>AZ28/(100-AZ28)/(BF28/(100-BF28))</f>
        <v>#VALUE!</v>
      </c>
      <c r="BJ28" s="65">
        <f>(LN(AN28)-LN(AM28))/2/TINV(1-AP28/100,AL28)</f>
        <v>0.44249122196940494</v>
      </c>
      <c r="BK28" s="3" t="str">
        <f>U28</f>
        <v>Exptal/Control +1SD/-1SD BaseTrain</v>
      </c>
      <c r="BL28" s="69">
        <f>AC28</f>
        <v>-1.7920332798527971</v>
      </c>
      <c r="BM28" s="56">
        <f>F28</f>
        <v>251</v>
      </c>
      <c r="BN28" s="69">
        <f>AD28</f>
        <v>-3.9275321118204021</v>
      </c>
      <c r="BO28" s="69">
        <f>AE28</f>
        <v>0.52658253383027542</v>
      </c>
      <c r="BP28" s="69">
        <f>(BO28-BN28)/2</f>
        <v>2.2270573228253387</v>
      </c>
      <c r="BQ28" s="56">
        <f>100*(1-I28)</f>
        <v>90</v>
      </c>
      <c r="BR28" s="58">
        <f>100-2*$AO$7</f>
        <v>90</v>
      </c>
      <c r="BS28" s="55" t="e">
        <f>$P$5*AG28+$Q$5*AH28</f>
        <v>#VALUE!</v>
      </c>
      <c r="BT28" s="55" t="e">
        <f>$Q$5*AG28+$P$5*AH28</f>
        <v>#VALUE!</v>
      </c>
      <c r="BU28" s="70">
        <f>BL28</f>
        <v>-1.7920332798527971</v>
      </c>
      <c r="BV28" s="70">
        <f>10*(2*SQRT(EXP(LN(((1+BL28/10)/(1-BL28/10))^2)-TINV((100-BR28)/100,BM28)*CK28))/(1+SQRT(EXP(LN(((1+BL28/10)/(1-BL28/10))^2)-TINV((100-BR28)/100,BM28)*CK28)))-1)</f>
        <v>-3.927425009752894</v>
      </c>
      <c r="BW28" s="70">
        <f>10*(2*SQRT(EXP(LN(((1+BL28/10)/(1-BL28/10))^2)+TINV((100-BR28)/100,BM28)*CK28))/(1+SQRT(EXP(LN(((1+BL28/10)/(1-BL28/10))^2)+TINV((100-BR28)/100,BM28)*CK28)))-1)</f>
        <v>0.52670881834081529</v>
      </c>
      <c r="BX28" s="70">
        <f>(BW28-BV28)/2</f>
        <v>2.2270669140468549</v>
      </c>
      <c r="BY28" s="59" t="e">
        <f>IF(CA28&lt;$AQ$7,IF(MAX(CD28,CG28)=CD28,CF28&amp;" trivial; don't use",CI28&amp;" harmful; don't use"),IF(CG28&lt;$AM$7,CC28&amp;" beneficial; use","unclear; don't use"))</f>
        <v>#VALUE!</v>
      </c>
      <c r="BZ28" s="59" t="e">
        <f>IF(MIN(CA28,CG28)&gt;$AO$7,"unclear",IF(MAX(CA28,CD28,CG28)=CA28,CC28&amp;" "&amp;BS27,IF(MAX(CA28,CD28,CG28)=CD28,CF28&amp;" trivial",CI28&amp;" "&amp;BT27)))</f>
        <v>#VALUE!</v>
      </c>
      <c r="CA28" s="66" t="e">
        <f>100*IF(LN(((1+BS28/10)/(1-BS28/10))^2)&gt;0,IF(LN(((1+BL28/10)/(1-BL28/10))^2)-LN(((1+BS28/10)/(1-BS28/10))^2)&gt;0,1-TDIST((LN(((1+BL28/10)/(1-BL28/10))^2)-LN(((1+BS28/10)/(1-BS28/10))^2))/CK28,BM28,1),TDIST((LN(((1+BS28/10)/(1-BS28/10))^2)-LN(((1+BL28/10)/(1-BL28/10))^2))/CK28,BM28,1)),IF(LN(((1+BL28/10)/(1-BL28/10))^2)-LN(((1+BS28/10)/(1-BS28/10))^2)&gt;0,TDIST((LN(((1+BL28/10)/(1-BL28/10))^2)-LN(((1+BS28/10)/(1-BS28/10))^2))/CK28,BM28,1),1-TDIST((LN(((1+BS28/10)/(1-BS28/10))^2)-LN(((1+BL28/10)/(1-BL28/10))^2))/CK28,BM28,1)))</f>
        <v>#VALUE!</v>
      </c>
      <c r="CB28" s="67" t="s">
        <v>58</v>
      </c>
      <c r="CC28" s="62" t="e">
        <f>IF(CA28&lt;$AM$7,$AL$7,IF(CA28&lt;$AO$7,$AN$7,IF(CA28&lt;$AQ$7,$AP$7,IF(CA28&lt;$AS$7,$AR$7,IF(CA28&lt;$AU$7,$AT$7,IF(CA28&lt;$AW$7,$AV$7,$AX$7))))))</f>
        <v>#VALUE!</v>
      </c>
      <c r="CD28" s="68" t="e">
        <f>100-CA28-CG28</f>
        <v>#VALUE!</v>
      </c>
      <c r="CE28" s="67" t="s">
        <v>58</v>
      </c>
      <c r="CF28" s="62" t="e">
        <f>IF(CD28&lt;$AM$7,$AL$7,IF(CD28&lt;$AO$7,$AN$7,IF(CD28&lt;$AQ$7,$AP$7,IF(CD28&lt;$AS$7,$AR$7,IF(CD28&lt;$AU$7,$AT$7,IF(CD28&lt;$AW$7,$AV$7,$AX$7))))))</f>
        <v>#VALUE!</v>
      </c>
      <c r="CG28" s="66" t="e">
        <f>100*IF(LN(((1+BT28/10)/(1-BT28/10))^2)&gt;0,IF(LN(((1+BL28/10)/(1-BL28/10))^2)-LN(((1+BT28/10)/(1-BT28/10))^2)&gt;0,1-TDIST((LN(((1+BL28/10)/(1-BL28/10))^2)-LN(((1+BT28/10)/(1-BT28/10))^2))/CK28,BM28,1),TDIST((LN(((1+BT28/10)/(1-BT28/10))^2)-LN(((1+BL28/10)/(1-BL28/10))^2))/CK28,BM28,1)),IF(LN(((1+BL28/10)/(1-BL28/10))^2)-LN(((1+BT28/10)/(1-BT28/10))^2)&gt;0,TDIST((LN(((1+BL28/10)/(1-BL28/10))^2)-LN(((1+BT28/10)/(1-BT28/10))^2))/CK28,BM28,1),1-TDIST((LN(((1+BT28/10)/(1-BT28/10))^2)-LN(((1+BL28/10)/(1-BL28/10))^2))/CK28,BM28,1)))</f>
        <v>#VALUE!</v>
      </c>
      <c r="CH28" s="67" t="s">
        <v>58</v>
      </c>
      <c r="CI28" s="62" t="e">
        <f>IF(CG28&lt;$AM$7,$AL$7,IF(CG28&lt;$AO$7,$AN$7,IF(CG28&lt;$AQ$7,$AP$7,IF(CG28&lt;$AS$7,$AR$7,IF(CG28&lt;$AU$7,$AT$7,IF(CG28&lt;$AW$7,$AV$7,$AX$7))))))</f>
        <v>#VALUE!</v>
      </c>
      <c r="CJ28" s="64" t="e">
        <f>CA28/(100-CA28)/(CG28/(100-CG28))</f>
        <v>#VALUE!</v>
      </c>
      <c r="CK28" s="65">
        <f>(LN(((1+BO28/10)/(1-BO28/10))^2)-LN(((1+BN28/10)/(1-BN28/10))^2))/2/TINV(1-BQ28/100,BM28)</f>
        <v>0.56665447968171379</v>
      </c>
      <c r="CL28" s="1" t="str">
        <f>U28</f>
        <v>Exptal/Control +1SD/-1SD BaseTrain</v>
      </c>
    </row>
    <row r="29" spans="3:90" x14ac:dyDescent="0.3">
      <c r="C29" s="89" t="s">
        <v>108</v>
      </c>
    </row>
    <row r="30" spans="3:90" x14ac:dyDescent="0.3">
      <c r="C30" s="89" t="s">
        <v>109</v>
      </c>
    </row>
    <row r="31" spans="3:90" x14ac:dyDescent="0.3">
      <c r="C31" s="29"/>
    </row>
    <row r="32" spans="3:90" x14ac:dyDescent="0.3">
      <c r="C32" s="29"/>
    </row>
    <row r="33" spans="3:4" x14ac:dyDescent="0.3">
      <c r="C33" s="29"/>
      <c r="D33" s="89"/>
    </row>
    <row r="34" spans="3:4" x14ac:dyDescent="0.3">
      <c r="C34" s="29"/>
      <c r="D34" s="89"/>
    </row>
  </sheetData>
  <mergeCells count="122">
    <mergeCell ref="P3:Q3"/>
    <mergeCell ref="C9:N9"/>
    <mergeCell ref="C10:C11"/>
    <mergeCell ref="D10:D11"/>
    <mergeCell ref="F10:F11"/>
    <mergeCell ref="G10:G11"/>
    <mergeCell ref="H10:H11"/>
    <mergeCell ref="I10:I11"/>
    <mergeCell ref="J10:J11"/>
    <mergeCell ref="K10:K11"/>
    <mergeCell ref="BU13:BZ13"/>
    <mergeCell ref="CA13:CI13"/>
    <mergeCell ref="AK14:AK15"/>
    <mergeCell ref="AL14:AL15"/>
    <mergeCell ref="AM14:AO14"/>
    <mergeCell ref="AP14:AQ14"/>
    <mergeCell ref="AT14:AW14"/>
    <mergeCell ref="AX14:AY14"/>
    <mergeCell ref="AZ14:BB15"/>
    <mergeCell ref="BC14:BE15"/>
    <mergeCell ref="AK13:AQ13"/>
    <mergeCell ref="AR13:AS13"/>
    <mergeCell ref="AT13:AY13"/>
    <mergeCell ref="AZ13:BH13"/>
    <mergeCell ref="BL13:BR13"/>
    <mergeCell ref="BS13:BT13"/>
    <mergeCell ref="BU14:BX14"/>
    <mergeCell ref="BY14:BZ14"/>
    <mergeCell ref="CA14:CC15"/>
    <mergeCell ref="CD14:CF15"/>
    <mergeCell ref="CG14:CI15"/>
    <mergeCell ref="CJ14:CJ15"/>
    <mergeCell ref="BF14:BH15"/>
    <mergeCell ref="BI14:BI15"/>
    <mergeCell ref="BL14:BL15"/>
    <mergeCell ref="BM14:BM15"/>
    <mergeCell ref="BN14:BP14"/>
    <mergeCell ref="BQ14:BR14"/>
    <mergeCell ref="BU17:BZ17"/>
    <mergeCell ref="CA17:CI17"/>
    <mergeCell ref="BL17:BR17"/>
    <mergeCell ref="BS17:BT17"/>
    <mergeCell ref="AK18:AK19"/>
    <mergeCell ref="AL18:AL19"/>
    <mergeCell ref="AM18:AO18"/>
    <mergeCell ref="AP18:AQ18"/>
    <mergeCell ref="AT18:AW18"/>
    <mergeCell ref="AX18:AY18"/>
    <mergeCell ref="AZ18:BB19"/>
    <mergeCell ref="BC18:BE19"/>
    <mergeCell ref="AK17:AQ17"/>
    <mergeCell ref="AR17:AS17"/>
    <mergeCell ref="AT17:AY17"/>
    <mergeCell ref="AZ17:BH17"/>
    <mergeCell ref="BU18:BX18"/>
    <mergeCell ref="BY18:BZ18"/>
    <mergeCell ref="CA18:CC19"/>
    <mergeCell ref="CD18:CF19"/>
    <mergeCell ref="CG18:CI19"/>
    <mergeCell ref="CJ18:CJ19"/>
    <mergeCell ref="BF18:BH19"/>
    <mergeCell ref="BI18:BI19"/>
    <mergeCell ref="BL18:BL19"/>
    <mergeCell ref="BM18:BM19"/>
    <mergeCell ref="BN18:BP18"/>
    <mergeCell ref="BQ18:BR18"/>
    <mergeCell ref="BU21:BZ21"/>
    <mergeCell ref="CA21:CI21"/>
    <mergeCell ref="AK22:AK23"/>
    <mergeCell ref="AL22:AL23"/>
    <mergeCell ref="AM22:AO22"/>
    <mergeCell ref="AP22:AQ22"/>
    <mergeCell ref="AT22:AW22"/>
    <mergeCell ref="AX22:AY22"/>
    <mergeCell ref="AZ22:BB23"/>
    <mergeCell ref="BC22:BE23"/>
    <mergeCell ref="AK21:AQ21"/>
    <mergeCell ref="AR21:AS21"/>
    <mergeCell ref="AT21:AY21"/>
    <mergeCell ref="AZ21:BH21"/>
    <mergeCell ref="BL21:BR21"/>
    <mergeCell ref="BS21:BT21"/>
    <mergeCell ref="BU22:BX22"/>
    <mergeCell ref="BY22:BZ22"/>
    <mergeCell ref="CA22:CC23"/>
    <mergeCell ref="CD22:CF23"/>
    <mergeCell ref="CG22:CI23"/>
    <mergeCell ref="CJ22:CJ23"/>
    <mergeCell ref="BF22:BH23"/>
    <mergeCell ref="BI22:BI23"/>
    <mergeCell ref="BL22:BL23"/>
    <mergeCell ref="BM22:BM23"/>
    <mergeCell ref="BN22:BP22"/>
    <mergeCell ref="BQ22:BR22"/>
    <mergeCell ref="BU25:BZ25"/>
    <mergeCell ref="CA25:CI25"/>
    <mergeCell ref="BL25:BR25"/>
    <mergeCell ref="BS25:BT25"/>
    <mergeCell ref="AK26:AK27"/>
    <mergeCell ref="AL26:AL27"/>
    <mergeCell ref="AM26:AO26"/>
    <mergeCell ref="AP26:AQ26"/>
    <mergeCell ref="AT26:AW26"/>
    <mergeCell ref="AX26:AY26"/>
    <mergeCell ref="AZ26:BB27"/>
    <mergeCell ref="BC26:BE27"/>
    <mergeCell ref="AK25:AQ25"/>
    <mergeCell ref="AR25:AS25"/>
    <mergeCell ref="AT25:AY25"/>
    <mergeCell ref="AZ25:BH25"/>
    <mergeCell ref="BU26:BX26"/>
    <mergeCell ref="BY26:BZ26"/>
    <mergeCell ref="CA26:CC27"/>
    <mergeCell ref="CD26:CF27"/>
    <mergeCell ref="CG26:CI27"/>
    <mergeCell ref="CJ26:CJ27"/>
    <mergeCell ref="BF26:BH27"/>
    <mergeCell ref="BI26:BI27"/>
    <mergeCell ref="BL26:BL27"/>
    <mergeCell ref="BM26:BM27"/>
    <mergeCell ref="BN26:BP26"/>
    <mergeCell ref="BQ26:BR26"/>
  </mergeCells>
  <pageMargins left="0.7" right="0.7" top="0.75" bottom="0.75" header="0.3" footer="0.3"/>
  <pageSetup paperSize="9" orientation="portrait" horizontalDpi="4294967293"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Hazards</vt:lpstr>
      <vt:lpstr>Proportions</vt:lpstr>
    </vt:vector>
  </TitlesOfParts>
  <Company>Victoria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 Hopkins</dc:creator>
  <cp:lastModifiedBy>Will Hopkins</cp:lastModifiedBy>
  <dcterms:created xsi:type="dcterms:W3CDTF">2016-10-31T04:06:15Z</dcterms:created>
  <dcterms:modified xsi:type="dcterms:W3CDTF">2016-12-02T12:00:27Z</dcterms:modified>
</cp:coreProperties>
</file>