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Will's Documents\sportsci\2016\Mixed-model Workshop\Generalized linear models\"/>
    </mc:Choice>
  </mc:AlternateContent>
  <bookViews>
    <workbookView xWindow="2266" yWindow="488" windowWidth="16704" windowHeight="8452" firstSheet="2" activeTab="3"/>
  </bookViews>
  <sheets>
    <sheet name="Counts Forwards" sheetId="9" r:id="rId1"/>
    <sheet name="Counts Backs" sheetId="22" r:id="rId2"/>
    <sheet name="Counts Forwards &amp; Backs" sheetId="23" r:id="rId3"/>
    <sheet name="Proportions Forwards" sheetId="5" r:id="rId4"/>
    <sheet name="Proportions Backs" sheetId="20" r:id="rId5"/>
    <sheet name="Proportions Forwards &amp; Backs" sheetId="21" r:id="rId6"/>
  </sheets>
  <calcPr calcId="162913"/>
</workbook>
</file>

<file path=xl/calcChain.xml><?xml version="1.0" encoding="utf-8"?>
<calcChain xmlns="http://schemas.openxmlformats.org/spreadsheetml/2006/main">
  <c r="L48" i="5" l="1"/>
  <c r="R17" i="5"/>
  <c r="AQ36" i="5" l="1"/>
  <c r="AP32" i="9" l="1"/>
  <c r="CZ34" i="9"/>
  <c r="CZ34" i="22"/>
  <c r="U46" i="23"/>
  <c r="CZ46" i="23" s="1"/>
  <c r="CZ42" i="23"/>
  <c r="CZ38" i="23"/>
  <c r="CZ34" i="23"/>
  <c r="AO48" i="21"/>
  <c r="AO44" i="21"/>
  <c r="AO40" i="21"/>
  <c r="AO36" i="21"/>
  <c r="AO32" i="21"/>
  <c r="AO36" i="20"/>
  <c r="AO32" i="20"/>
  <c r="AO36" i="5"/>
  <c r="AO32" i="5"/>
  <c r="AV48" i="23"/>
  <c r="AV44" i="23"/>
  <c r="AV40" i="23"/>
  <c r="AV36" i="23"/>
  <c r="AV32" i="23"/>
  <c r="AV36" i="22"/>
  <c r="AV32" i="22"/>
  <c r="AV36" i="9"/>
  <c r="AV32" i="9"/>
  <c r="AW46" i="23" l="1"/>
  <c r="BY46" i="23"/>
  <c r="CF36" i="23" l="1"/>
  <c r="CE36" i="23"/>
  <c r="CA36" i="23"/>
  <c r="BE36" i="23"/>
  <c r="BH34" i="23" s="1"/>
  <c r="BD36" i="23"/>
  <c r="AZ36" i="23"/>
  <c r="AP36" i="23"/>
  <c r="AL36" i="23"/>
  <c r="AK36" i="23"/>
  <c r="AJ36" i="23"/>
  <c r="Z36" i="23"/>
  <c r="AM36" i="23" s="1"/>
  <c r="X36" i="23"/>
  <c r="AE36" i="23" s="1"/>
  <c r="W36" i="23"/>
  <c r="BA36" i="23" s="1"/>
  <c r="V36" i="23"/>
  <c r="AY36" i="23" s="1"/>
  <c r="U36" i="23"/>
  <c r="AW36" i="23" s="1"/>
  <c r="R35" i="23"/>
  <c r="Q35" i="23"/>
  <c r="CI34" i="23"/>
  <c r="U34" i="23"/>
  <c r="R34" i="23"/>
  <c r="Q34" i="23"/>
  <c r="CF40" i="23"/>
  <c r="CI38" i="23" s="1"/>
  <c r="CE40" i="23"/>
  <c r="CA40" i="23"/>
  <c r="BE40" i="23"/>
  <c r="BH38" i="23" s="1"/>
  <c r="BD40" i="23"/>
  <c r="AZ40" i="23"/>
  <c r="AP40" i="23"/>
  <c r="AL40" i="23"/>
  <c r="AK40" i="23"/>
  <c r="AJ40" i="23"/>
  <c r="Z40" i="23"/>
  <c r="AG40" i="23" s="1"/>
  <c r="X40" i="23"/>
  <c r="BB40" i="23" s="1"/>
  <c r="W40" i="23"/>
  <c r="BA40" i="23" s="1"/>
  <c r="V40" i="23"/>
  <c r="AC40" i="23" s="1"/>
  <c r="U40" i="23"/>
  <c r="AW40" i="23" s="1"/>
  <c r="R39" i="23"/>
  <c r="Q39" i="23"/>
  <c r="U38" i="23"/>
  <c r="R38" i="23"/>
  <c r="Q38" i="23"/>
  <c r="CF44" i="23"/>
  <c r="CI42" i="23" s="1"/>
  <c r="CE44" i="23"/>
  <c r="CA44" i="23"/>
  <c r="BE44" i="23"/>
  <c r="BH42" i="23" s="1"/>
  <c r="BD44" i="23"/>
  <c r="AZ44" i="23"/>
  <c r="AP44" i="23"/>
  <c r="AL44" i="23"/>
  <c r="AK44" i="23"/>
  <c r="AJ44" i="23"/>
  <c r="Z44" i="23"/>
  <c r="AM44" i="23" s="1"/>
  <c r="X44" i="23"/>
  <c r="AE44" i="23" s="1"/>
  <c r="W44" i="23"/>
  <c r="BA44" i="23" s="1"/>
  <c r="V44" i="23"/>
  <c r="AY44" i="23" s="1"/>
  <c r="U44" i="23"/>
  <c r="AW44" i="23" s="1"/>
  <c r="R43" i="23"/>
  <c r="Q43" i="23"/>
  <c r="U42" i="23"/>
  <c r="R42" i="23"/>
  <c r="Q42" i="23"/>
  <c r="L57" i="23"/>
  <c r="L56" i="23"/>
  <c r="L55" i="23"/>
  <c r="CF48" i="23"/>
  <c r="CE48" i="23"/>
  <c r="CA48" i="23"/>
  <c r="BE48" i="23"/>
  <c r="BH46" i="23" s="1"/>
  <c r="BD48" i="23"/>
  <c r="AZ48" i="23"/>
  <c r="AP48" i="23"/>
  <c r="AL48" i="23"/>
  <c r="AK48" i="23"/>
  <c r="AJ48" i="23"/>
  <c r="Z48" i="23"/>
  <c r="AM48" i="23" s="1"/>
  <c r="X48" i="23"/>
  <c r="W48" i="23"/>
  <c r="AD48" i="23" s="1"/>
  <c r="V48" i="23"/>
  <c r="AY48" i="23" s="1"/>
  <c r="U48" i="23"/>
  <c r="AW48" i="23" s="1"/>
  <c r="R47" i="23"/>
  <c r="Q47" i="23"/>
  <c r="CI46" i="23"/>
  <c r="R46" i="23"/>
  <c r="Q46" i="23"/>
  <c r="CF32" i="23"/>
  <c r="CE32" i="23"/>
  <c r="CA32" i="23"/>
  <c r="BE32" i="23"/>
  <c r="BH30" i="23" s="1"/>
  <c r="BD32" i="23"/>
  <c r="AZ32" i="23"/>
  <c r="AP32" i="23"/>
  <c r="AL32" i="23"/>
  <c r="AK32" i="23"/>
  <c r="AJ32" i="23"/>
  <c r="Z32" i="23"/>
  <c r="AM32" i="23" s="1"/>
  <c r="X32" i="23"/>
  <c r="AE32" i="23" s="1"/>
  <c r="W32" i="23"/>
  <c r="V32" i="23"/>
  <c r="AY32" i="23" s="1"/>
  <c r="BH32" i="23" s="1"/>
  <c r="U32" i="23"/>
  <c r="AW32" i="23" s="1"/>
  <c r="R31" i="23"/>
  <c r="Q31" i="23"/>
  <c r="CI30" i="23"/>
  <c r="U30" i="23"/>
  <c r="R30" i="23"/>
  <c r="Q30" i="23"/>
  <c r="R28" i="23"/>
  <c r="Q28" i="23"/>
  <c r="Z27" i="23"/>
  <c r="AG27" i="23" s="1"/>
  <c r="Y27" i="23"/>
  <c r="AF27" i="23" s="1"/>
  <c r="X27" i="23"/>
  <c r="AE27" i="23" s="1"/>
  <c r="W27" i="23"/>
  <c r="AD27" i="23" s="1"/>
  <c r="V27" i="23"/>
  <c r="AA48" i="23" s="1"/>
  <c r="AV26" i="23"/>
  <c r="AU26" i="23"/>
  <c r="AT26" i="23"/>
  <c r="AS26" i="23"/>
  <c r="AS10" i="23" s="1"/>
  <c r="AR26" i="23"/>
  <c r="AU48" i="23" s="1"/>
  <c r="AG26" i="23"/>
  <c r="AF26" i="23"/>
  <c r="AE26" i="23"/>
  <c r="AD26" i="23"/>
  <c r="AC26" i="23"/>
  <c r="CF18" i="23"/>
  <c r="BE18" i="23"/>
  <c r="H18" i="23"/>
  <c r="CE18" i="23" s="1"/>
  <c r="G18" i="23"/>
  <c r="F18" i="23"/>
  <c r="AL18" i="23" s="1"/>
  <c r="E18" i="23"/>
  <c r="W18" i="23" s="1"/>
  <c r="AD18" i="23" s="1"/>
  <c r="D18" i="23"/>
  <c r="V18" i="23" s="1"/>
  <c r="B18" i="23"/>
  <c r="U18" i="23" s="1"/>
  <c r="CF17" i="23"/>
  <c r="CI15" i="23" s="1"/>
  <c r="BE17" i="23"/>
  <c r="BH15" i="23" s="1"/>
  <c r="H17" i="23"/>
  <c r="BD17" i="23" s="1"/>
  <c r="G17" i="23"/>
  <c r="F17" i="23"/>
  <c r="AL17" i="23" s="1"/>
  <c r="E17" i="23"/>
  <c r="W17" i="23" s="1"/>
  <c r="BA17" i="23" s="1"/>
  <c r="D17" i="23"/>
  <c r="N78" i="23" s="1"/>
  <c r="C17" i="23"/>
  <c r="U17" i="23" s="1"/>
  <c r="CZ17" i="23" s="1"/>
  <c r="B17" i="23"/>
  <c r="AV11" i="23"/>
  <c r="AU11" i="23"/>
  <c r="AT11" i="23"/>
  <c r="AS11" i="23"/>
  <c r="AR11" i="23"/>
  <c r="AV18" i="23" s="1"/>
  <c r="AV10" i="23"/>
  <c r="AU10" i="23"/>
  <c r="AT10" i="23"/>
  <c r="AG10" i="23"/>
  <c r="Y11" i="23"/>
  <c r="AF11" i="23" s="1"/>
  <c r="V11" i="23"/>
  <c r="AA18" i="23" s="1"/>
  <c r="Z10" i="23"/>
  <c r="Y10" i="23"/>
  <c r="AF10" i="23" s="1"/>
  <c r="X10" i="23"/>
  <c r="AE10" i="23" s="1"/>
  <c r="W10" i="23"/>
  <c r="AD10" i="23" s="1"/>
  <c r="V10" i="23"/>
  <c r="Z17" i="23" s="1"/>
  <c r="BK7" i="23"/>
  <c r="BI7" i="23"/>
  <c r="BG7" i="23"/>
  <c r="Q5" i="23"/>
  <c r="P5" i="23"/>
  <c r="AT40" i="23" l="1"/>
  <c r="CC40" i="23" s="1"/>
  <c r="N83" i="23"/>
  <c r="AW30" i="23"/>
  <c r="BY30" i="23"/>
  <c r="BY42" i="23"/>
  <c r="AW42" i="23"/>
  <c r="BY38" i="23"/>
  <c r="AW38" i="23"/>
  <c r="BY34" i="23"/>
  <c r="AW34" i="23"/>
  <c r="M81" i="23"/>
  <c r="AG32" i="23"/>
  <c r="M89" i="23"/>
  <c r="AR10" i="23"/>
  <c r="AU18" i="23" s="1"/>
  <c r="CG18" i="23" s="1"/>
  <c r="L86" i="23"/>
  <c r="CZ40" i="23"/>
  <c r="BY40" i="23"/>
  <c r="CZ36" i="23"/>
  <c r="BY36" i="23"/>
  <c r="Z11" i="23"/>
  <c r="AG11" i="23" s="1"/>
  <c r="AC10" i="23"/>
  <c r="AV17" i="23"/>
  <c r="AA32" i="23"/>
  <c r="BF32" i="23" s="1"/>
  <c r="AS40" i="23"/>
  <c r="CB40" i="23" s="1"/>
  <c r="CD40" i="23" s="1"/>
  <c r="AR36" i="23"/>
  <c r="BZ36" i="23" s="1"/>
  <c r="AU36" i="23"/>
  <c r="CH36" i="23" s="1"/>
  <c r="CH35" i="23" s="1"/>
  <c r="CU34" i="23" s="1"/>
  <c r="N89" i="23"/>
  <c r="M87" i="23"/>
  <c r="L84" i="23"/>
  <c r="N81" i="23"/>
  <c r="AC27" i="23"/>
  <c r="AG48" i="23"/>
  <c r="CZ44" i="23"/>
  <c r="BY44" i="23"/>
  <c r="AA40" i="23"/>
  <c r="AH40" i="23" s="1"/>
  <c r="AC36" i="23"/>
  <c r="L88" i="23"/>
  <c r="N85" i="23"/>
  <c r="M83" i="23"/>
  <c r="BY48" i="23"/>
  <c r="CZ30" i="23"/>
  <c r="CZ32" i="23"/>
  <c r="BY32" i="23"/>
  <c r="AU44" i="23"/>
  <c r="CH44" i="23" s="1"/>
  <c r="CH43" i="23" s="1"/>
  <c r="CU42" i="23" s="1"/>
  <c r="AR40" i="23"/>
  <c r="BZ40" i="23" s="1"/>
  <c r="CI40" i="23" s="1"/>
  <c r="AU40" i="23"/>
  <c r="CH40" i="23" s="1"/>
  <c r="CH39" i="23" s="1"/>
  <c r="CU38" i="23" s="1"/>
  <c r="AG36" i="23"/>
  <c r="L90" i="23"/>
  <c r="N87" i="23"/>
  <c r="M85" i="23"/>
  <c r="L82" i="23"/>
  <c r="W11" i="23"/>
  <c r="AD11" i="23" s="1"/>
  <c r="AJ18" i="23"/>
  <c r="CG36" i="23"/>
  <c r="CG35" i="23" s="1"/>
  <c r="CO34" i="23" s="1"/>
  <c r="CG48" i="23"/>
  <c r="CG47" i="23" s="1"/>
  <c r="BD18" i="23"/>
  <c r="AU32" i="23"/>
  <c r="CG32" i="23" s="1"/>
  <c r="CG31" i="23" s="1"/>
  <c r="AA44" i="23"/>
  <c r="AN44" i="23" s="1"/>
  <c r="N90" i="23"/>
  <c r="L89" i="23"/>
  <c r="N88" i="23"/>
  <c r="L87" i="23"/>
  <c r="N86" i="23"/>
  <c r="L85" i="23"/>
  <c r="N84" i="23"/>
  <c r="L83" i="23"/>
  <c r="N82" i="23"/>
  <c r="L81" i="23"/>
  <c r="AR48" i="23"/>
  <c r="BZ48" i="23" s="1"/>
  <c r="CI48" i="23" s="1"/>
  <c r="AS44" i="23"/>
  <c r="CB44" i="23" s="1"/>
  <c r="CH32" i="23"/>
  <c r="CH31" i="23" s="1"/>
  <c r="CH18" i="23"/>
  <c r="CH48" i="23"/>
  <c r="CH47" i="23" s="1"/>
  <c r="AW18" i="23"/>
  <c r="CZ18" i="23"/>
  <c r="CZ48" i="23"/>
  <c r="AG44" i="23"/>
  <c r="BB44" i="23"/>
  <c r="BX44" i="23" s="1"/>
  <c r="BI44" i="23" s="1"/>
  <c r="AA36" i="23"/>
  <c r="BF36" i="23" s="1"/>
  <c r="AS36" i="23"/>
  <c r="CB36" i="23" s="1"/>
  <c r="M90" i="23"/>
  <c r="M88" i="23"/>
  <c r="M86" i="23"/>
  <c r="M84" i="23"/>
  <c r="M82" i="23"/>
  <c r="BG44" i="23"/>
  <c r="BG43" i="23" s="1"/>
  <c r="BT42" i="23" s="1"/>
  <c r="AR32" i="23"/>
  <c r="BZ32" i="23" s="1"/>
  <c r="CI32" i="23" s="1"/>
  <c r="AC48" i="23"/>
  <c r="AE40" i="23"/>
  <c r="AT36" i="23"/>
  <c r="CC36" i="23" s="1"/>
  <c r="CY36" i="23" s="1"/>
  <c r="CK36" i="23" s="1"/>
  <c r="BB36" i="23"/>
  <c r="BX36" i="23" s="1"/>
  <c r="BJ36" i="23" s="1"/>
  <c r="BA48" i="23"/>
  <c r="AR44" i="23"/>
  <c r="BZ44" i="23" s="1"/>
  <c r="CI44" i="23" s="1"/>
  <c r="AC32" i="23"/>
  <c r="AC44" i="23"/>
  <c r="AT44" i="23"/>
  <c r="CC44" i="23" s="1"/>
  <c r="Y36" i="23"/>
  <c r="AD36" i="23"/>
  <c r="AF36" i="23" s="1"/>
  <c r="BH36" i="23"/>
  <c r="CI36" i="23"/>
  <c r="BX40" i="23"/>
  <c r="BC40" i="23"/>
  <c r="AY40" i="23"/>
  <c r="Y40" i="23"/>
  <c r="AD40" i="23"/>
  <c r="AM40" i="23"/>
  <c r="AA17" i="23"/>
  <c r="AN17" i="23" s="1"/>
  <c r="BH44" i="23"/>
  <c r="Y44" i="23"/>
  <c r="AD44" i="23"/>
  <c r="AF44" i="23" s="1"/>
  <c r="AH44" i="23"/>
  <c r="BF44" i="23"/>
  <c r="Z18" i="23"/>
  <c r="AG18" i="23" s="1"/>
  <c r="X17" i="23"/>
  <c r="BB17" i="23" s="1"/>
  <c r="BX17" i="23" s="1"/>
  <c r="AK18" i="23"/>
  <c r="AS48" i="23"/>
  <c r="CB48" i="23" s="1"/>
  <c r="AK17" i="23"/>
  <c r="AT48" i="23"/>
  <c r="CC48" i="23" s="1"/>
  <c r="AG17" i="23"/>
  <c r="AM17" i="23"/>
  <c r="AH18" i="23"/>
  <c r="AN18" i="23"/>
  <c r="BY17" i="23"/>
  <c r="AW17" i="23"/>
  <c r="AC18" i="23"/>
  <c r="L18" i="23"/>
  <c r="AP18" i="23" s="1"/>
  <c r="AT18" i="23" s="1"/>
  <c r="CC18" i="23" s="1"/>
  <c r="AY18" i="23"/>
  <c r="CE17" i="23"/>
  <c r="BY18" i="23"/>
  <c r="BG48" i="23"/>
  <c r="AC11" i="23"/>
  <c r="AD17" i="23"/>
  <c r="AN48" i="23"/>
  <c r="AH48" i="23"/>
  <c r="AD32" i="23"/>
  <c r="AF32" i="23" s="1"/>
  <c r="BA32" i="23"/>
  <c r="AS32" i="23"/>
  <c r="CB32" i="23" s="1"/>
  <c r="N70" i="23"/>
  <c r="L73" i="23"/>
  <c r="M80" i="23"/>
  <c r="M78" i="23"/>
  <c r="M76" i="23"/>
  <c r="M74" i="23"/>
  <c r="M72" i="23"/>
  <c r="M70" i="23"/>
  <c r="M68" i="23"/>
  <c r="L80" i="23"/>
  <c r="N79" i="23"/>
  <c r="L78" i="23"/>
  <c r="N77" i="23"/>
  <c r="L76" i="23"/>
  <c r="N75" i="23"/>
  <c r="L74" i="23"/>
  <c r="N73" i="23"/>
  <c r="L72" i="23"/>
  <c r="N71" i="23"/>
  <c r="L70" i="23"/>
  <c r="N69" i="23"/>
  <c r="L68" i="23"/>
  <c r="N67" i="23"/>
  <c r="M79" i="23"/>
  <c r="M77" i="23"/>
  <c r="M75" i="23"/>
  <c r="M73" i="23"/>
  <c r="M71" i="23"/>
  <c r="M69" i="23"/>
  <c r="M67" i="23"/>
  <c r="BF48" i="23"/>
  <c r="V17" i="23"/>
  <c r="AJ17" i="23"/>
  <c r="BA18" i="23"/>
  <c r="AT32" i="23"/>
  <c r="CC32" i="23" s="1"/>
  <c r="AE48" i="23"/>
  <c r="AF48" i="23" s="1"/>
  <c r="BB48" i="23"/>
  <c r="Y48" i="23"/>
  <c r="N68" i="23"/>
  <c r="L71" i="23"/>
  <c r="N76" i="23"/>
  <c r="L79" i="23"/>
  <c r="L69" i="23"/>
  <c r="N74" i="23"/>
  <c r="L77" i="23"/>
  <c r="X11" i="23"/>
  <c r="AE11" i="23" s="1"/>
  <c r="AH32" i="23"/>
  <c r="BH48" i="23"/>
  <c r="L67" i="23"/>
  <c r="N72" i="23"/>
  <c r="L75" i="23"/>
  <c r="N80" i="23"/>
  <c r="X18" i="23"/>
  <c r="Y32" i="23"/>
  <c r="BB32" i="23"/>
  <c r="AN32" i="23" l="1"/>
  <c r="BG32" i="23"/>
  <c r="AN40" i="23"/>
  <c r="CG40" i="23"/>
  <c r="CG39" i="23" s="1"/>
  <c r="CO38" i="23" s="1"/>
  <c r="AU17" i="23"/>
  <c r="CG17" i="23" s="1"/>
  <c r="CG16" i="23" s="1"/>
  <c r="CD36" i="23"/>
  <c r="CD44" i="23"/>
  <c r="BF17" i="23"/>
  <c r="BF16" i="23" s="1"/>
  <c r="BN15" i="23" s="1"/>
  <c r="CY48" i="23"/>
  <c r="BC44" i="23"/>
  <c r="BF40" i="23"/>
  <c r="BN40" i="23" s="1"/>
  <c r="CY40" i="23"/>
  <c r="CJ40" i="23" s="1"/>
  <c r="BG17" i="23"/>
  <c r="BG40" i="23"/>
  <c r="BT40" i="23" s="1"/>
  <c r="BV40" i="23" s="1"/>
  <c r="CG44" i="23"/>
  <c r="CG43" i="23" s="1"/>
  <c r="CO42" i="23" s="1"/>
  <c r="BF35" i="23"/>
  <c r="BN34" i="23" s="1"/>
  <c r="BN36" i="23"/>
  <c r="BT44" i="23"/>
  <c r="BV44" i="23" s="1"/>
  <c r="BC36" i="23"/>
  <c r="BG36" i="23"/>
  <c r="BI36" i="23"/>
  <c r="BK36" i="23" s="1"/>
  <c r="CO36" i="23"/>
  <c r="CJ36" i="23"/>
  <c r="CL36" i="23" s="1"/>
  <c r="AN36" i="23"/>
  <c r="AH36" i="23"/>
  <c r="CU36" i="23"/>
  <c r="CW36" i="23" s="1"/>
  <c r="CD48" i="23"/>
  <c r="CY44" i="23"/>
  <c r="CJ44" i="23" s="1"/>
  <c r="AF40" i="23"/>
  <c r="BI40" i="23"/>
  <c r="BH40" i="23"/>
  <c r="BJ40" i="23"/>
  <c r="AH17" i="23"/>
  <c r="AM18" i="23"/>
  <c r="BG39" i="23"/>
  <c r="BT38" i="23" s="1"/>
  <c r="BC17" i="23"/>
  <c r="BJ44" i="23"/>
  <c r="BK44" i="23" s="1"/>
  <c r="AE17" i="23"/>
  <c r="AF17" i="23" s="1"/>
  <c r="BF18" i="23"/>
  <c r="BN44" i="23"/>
  <c r="BF43" i="23"/>
  <c r="BN42" i="23" s="1"/>
  <c r="Y17" i="23"/>
  <c r="BG18" i="23"/>
  <c r="AR18" i="23"/>
  <c r="BZ18" i="23" s="1"/>
  <c r="Y18" i="23"/>
  <c r="BB18" i="23"/>
  <c r="AE18" i="23"/>
  <c r="AF18" i="23" s="1"/>
  <c r="CI18" i="23"/>
  <c r="BC48" i="23"/>
  <c r="BX48" i="23"/>
  <c r="BT48" i="23" s="1"/>
  <c r="BV48" i="23" s="1"/>
  <c r="CO46" i="23"/>
  <c r="CO48" i="23"/>
  <c r="CO30" i="23"/>
  <c r="BH18" i="23"/>
  <c r="BC32" i="23"/>
  <c r="BX32" i="23"/>
  <c r="BG16" i="23"/>
  <c r="BT15" i="23" s="1"/>
  <c r="AS18" i="23"/>
  <c r="CD32" i="23"/>
  <c r="CY32" i="23"/>
  <c r="CO32" i="23" s="1"/>
  <c r="AC17" i="23"/>
  <c r="AY17" i="23"/>
  <c r="BT17" i="23" s="1"/>
  <c r="BV17" i="23" s="1"/>
  <c r="L17" i="23"/>
  <c r="BG47" i="23"/>
  <c r="BT46" i="23" s="1"/>
  <c r="BG31" i="23"/>
  <c r="BT30" i="23" s="1"/>
  <c r="BN17" i="23"/>
  <c r="BF47" i="23"/>
  <c r="BN46" i="23" s="1"/>
  <c r="BN32" i="23"/>
  <c r="BF31" i="23"/>
  <c r="BN30" i="23" s="1"/>
  <c r="CU48" i="23"/>
  <c r="CW48" i="23" s="1"/>
  <c r="CU46" i="23"/>
  <c r="CU30" i="23"/>
  <c r="CH17" i="23" l="1"/>
  <c r="CH16" i="23" s="1"/>
  <c r="CM36" i="23"/>
  <c r="CO44" i="23"/>
  <c r="BT32" i="23"/>
  <c r="BV32" i="23" s="1"/>
  <c r="CQ36" i="23"/>
  <c r="BF39" i="23"/>
  <c r="BN38" i="23" s="1"/>
  <c r="CJ48" i="23"/>
  <c r="CK48" i="23"/>
  <c r="CU32" i="23"/>
  <c r="CW32" i="23" s="1"/>
  <c r="CK40" i="23"/>
  <c r="CL40" i="23" s="1"/>
  <c r="CU40" i="23"/>
  <c r="CW40" i="23" s="1"/>
  <c r="CO40" i="23"/>
  <c r="BN48" i="23"/>
  <c r="BQ48" i="23" s="1"/>
  <c r="BS48" i="23" s="1"/>
  <c r="BP36" i="23"/>
  <c r="BT36" i="23"/>
  <c r="BM36" i="23" s="1"/>
  <c r="BG35" i="23"/>
  <c r="BT34" i="23" s="1"/>
  <c r="CK44" i="23"/>
  <c r="CL44" i="23" s="1"/>
  <c r="CU44" i="23"/>
  <c r="CW44" i="23" s="1"/>
  <c r="CR36" i="23"/>
  <c r="CT36" i="23" s="1"/>
  <c r="CX36" i="23"/>
  <c r="CN36" i="23"/>
  <c r="BK40" i="23"/>
  <c r="BP40" i="23"/>
  <c r="BW40" i="23"/>
  <c r="BQ40" i="23"/>
  <c r="BS40" i="23" s="1"/>
  <c r="BL40" i="23"/>
  <c r="BM44" i="23"/>
  <c r="BW44" i="23"/>
  <c r="BQ44" i="23"/>
  <c r="BS44" i="23" s="1"/>
  <c r="BP44" i="23"/>
  <c r="CN44" i="23"/>
  <c r="CQ44" i="23"/>
  <c r="CX48" i="23"/>
  <c r="CR48" i="23"/>
  <c r="CT48" i="23" s="1"/>
  <c r="CQ48" i="23"/>
  <c r="CM48" i="23" s="1"/>
  <c r="BP32" i="23"/>
  <c r="BL32" i="23" s="1"/>
  <c r="BQ17" i="23"/>
  <c r="BS17" i="23" s="1"/>
  <c r="BP17" i="23"/>
  <c r="L58" i="23"/>
  <c r="L59" i="23" s="1"/>
  <c r="AP17" i="23"/>
  <c r="CQ32" i="23"/>
  <c r="CR32" i="23"/>
  <c r="CT32" i="23" s="1"/>
  <c r="BJ48" i="23"/>
  <c r="BI48" i="23"/>
  <c r="BJ17" i="23"/>
  <c r="BK17" i="23" s="1"/>
  <c r="BI17" i="23"/>
  <c r="BH17" i="23"/>
  <c r="CB18" i="23"/>
  <c r="BW48" i="23"/>
  <c r="BI32" i="23"/>
  <c r="BJ32" i="23"/>
  <c r="BX18" i="23"/>
  <c r="BN18" i="23" s="1"/>
  <c r="BC18" i="23"/>
  <c r="CK32" i="23"/>
  <c r="CJ32" i="23"/>
  <c r="CX44" i="23" l="1"/>
  <c r="BP48" i="23"/>
  <c r="CM32" i="23"/>
  <c r="BL48" i="23"/>
  <c r="BQ32" i="23"/>
  <c r="CR44" i="23"/>
  <c r="CT44" i="23" s="1"/>
  <c r="CX32" i="23"/>
  <c r="BW32" i="23"/>
  <c r="CL48" i="23"/>
  <c r="CX40" i="23"/>
  <c r="CR40" i="23"/>
  <c r="CT40" i="23" s="1"/>
  <c r="CQ40" i="23"/>
  <c r="CM40" i="23" s="1"/>
  <c r="BP18" i="23"/>
  <c r="BT18" i="23"/>
  <c r="BV18" i="23" s="1"/>
  <c r="BL44" i="23"/>
  <c r="P81" i="23"/>
  <c r="R82" i="23"/>
  <c r="P83" i="23"/>
  <c r="R84" i="23"/>
  <c r="P85" i="23"/>
  <c r="R86" i="23"/>
  <c r="P87" i="23"/>
  <c r="R88" i="23"/>
  <c r="P89" i="23"/>
  <c r="R90" i="23"/>
  <c r="R83" i="23"/>
  <c r="P84" i="23"/>
  <c r="R87" i="23"/>
  <c r="P88" i="23"/>
  <c r="R89" i="23"/>
  <c r="P90" i="23"/>
  <c r="Q86" i="23"/>
  <c r="Q88" i="23"/>
  <c r="Q90" i="23"/>
  <c r="Q81" i="23"/>
  <c r="Q83" i="23"/>
  <c r="Q85" i="23"/>
  <c r="Q87" i="23"/>
  <c r="Q89" i="23"/>
  <c r="R81" i="23"/>
  <c r="P82" i="23"/>
  <c r="R85" i="23"/>
  <c r="P86" i="23"/>
  <c r="Q82" i="23"/>
  <c r="Q84" i="23"/>
  <c r="BV36" i="23"/>
  <c r="BW36" i="23"/>
  <c r="BQ36" i="23"/>
  <c r="BS36" i="23" s="1"/>
  <c r="BL36" i="23"/>
  <c r="CM44" i="23"/>
  <c r="BM17" i="23"/>
  <c r="BM48" i="23"/>
  <c r="CN32" i="23"/>
  <c r="CN48" i="23"/>
  <c r="BM40" i="23"/>
  <c r="CL32" i="23"/>
  <c r="CY18" i="23"/>
  <c r="CD18" i="23"/>
  <c r="BJ18" i="23"/>
  <c r="BI18" i="23"/>
  <c r="BK32" i="23"/>
  <c r="AS17" i="23"/>
  <c r="AT17" i="23"/>
  <c r="CC17" i="23" s="1"/>
  <c r="AR17" i="23"/>
  <c r="BZ17" i="23" s="1"/>
  <c r="R80" i="23"/>
  <c r="P79" i="23"/>
  <c r="R78" i="23"/>
  <c r="P77" i="23"/>
  <c r="R76" i="23"/>
  <c r="P75" i="23"/>
  <c r="R74" i="23"/>
  <c r="P73" i="23"/>
  <c r="R72" i="23"/>
  <c r="P71" i="23"/>
  <c r="R70" i="23"/>
  <c r="P69" i="23"/>
  <c r="R68" i="23"/>
  <c r="P67" i="23"/>
  <c r="Q80" i="23"/>
  <c r="Q78" i="23"/>
  <c r="Q76" i="23"/>
  <c r="Q74" i="23"/>
  <c r="Q72" i="23"/>
  <c r="Q70" i="23"/>
  <c r="Q68" i="23"/>
  <c r="L60" i="23"/>
  <c r="L61" i="23" s="1"/>
  <c r="P80" i="23"/>
  <c r="R79" i="23"/>
  <c r="P78" i="23"/>
  <c r="R77" i="23"/>
  <c r="P76" i="23"/>
  <c r="R75" i="23"/>
  <c r="P74" i="23"/>
  <c r="R73" i="23"/>
  <c r="P72" i="23"/>
  <c r="R71" i="23"/>
  <c r="P70" i="23"/>
  <c r="R69" i="23"/>
  <c r="P68" i="23"/>
  <c r="R67" i="23"/>
  <c r="Q77" i="23"/>
  <c r="Q69" i="23"/>
  <c r="Q79" i="23"/>
  <c r="Q71" i="23"/>
  <c r="Q73" i="23"/>
  <c r="Q75" i="23"/>
  <c r="Q67" i="23"/>
  <c r="BK48" i="23"/>
  <c r="BS32" i="23" l="1"/>
  <c r="BM32" i="23"/>
  <c r="BK18" i="23"/>
  <c r="CN40" i="23"/>
  <c r="CO18" i="23"/>
  <c r="CU18" i="23"/>
  <c r="CW18" i="23" s="1"/>
  <c r="BQ18" i="23"/>
  <c r="BS18" i="23" s="1"/>
  <c r="BM18" i="23"/>
  <c r="CI17" i="23"/>
  <c r="CB17" i="23"/>
  <c r="CD17" i="23" s="1"/>
  <c r="CJ18" i="23"/>
  <c r="CK18" i="23"/>
  <c r="CQ18" i="23" l="1"/>
  <c r="CR18" i="23"/>
  <c r="CT18" i="23" s="1"/>
  <c r="CY17" i="23"/>
  <c r="CK17" i="23" s="1"/>
  <c r="CO15" i="23"/>
  <c r="CL18" i="23"/>
  <c r="CO17" i="23" l="1"/>
  <c r="CU17" i="23"/>
  <c r="CW17" i="23" s="1"/>
  <c r="CU15" i="23"/>
  <c r="CN18" i="23"/>
  <c r="CJ17" i="23"/>
  <c r="CL17" i="23" s="1"/>
  <c r="CR17" i="23" l="1"/>
  <c r="CT17" i="23" s="1"/>
  <c r="CQ17" i="23"/>
  <c r="CN17" i="23" s="1"/>
  <c r="L45" i="22"/>
  <c r="L44" i="22"/>
  <c r="L43" i="22"/>
  <c r="CF36" i="22"/>
  <c r="CI34" i="22" s="1"/>
  <c r="CE36" i="22"/>
  <c r="CA36" i="22"/>
  <c r="BE36" i="22"/>
  <c r="BD36" i="22"/>
  <c r="AZ36" i="22"/>
  <c r="AP36" i="22"/>
  <c r="AL36" i="22"/>
  <c r="AK36" i="22"/>
  <c r="AJ36" i="22"/>
  <c r="AG36" i="22"/>
  <c r="Z36" i="22"/>
  <c r="AM36" i="22" s="1"/>
  <c r="X36" i="22"/>
  <c r="AE36" i="22" s="1"/>
  <c r="W36" i="22"/>
  <c r="BA36" i="22" s="1"/>
  <c r="V36" i="22"/>
  <c r="AY36" i="22" s="1"/>
  <c r="U36" i="22"/>
  <c r="AW36" i="22" s="1"/>
  <c r="R35" i="22"/>
  <c r="Q35" i="22"/>
  <c r="BH34" i="22"/>
  <c r="U34" i="22"/>
  <c r="R34" i="22"/>
  <c r="Q34" i="22"/>
  <c r="CF32" i="22"/>
  <c r="CI30" i="22" s="1"/>
  <c r="CE32" i="22"/>
  <c r="CA32" i="22"/>
  <c r="BE32" i="22"/>
  <c r="BH30" i="22" s="1"/>
  <c r="BD32" i="22"/>
  <c r="AZ32" i="22"/>
  <c r="AP32" i="22"/>
  <c r="AL32" i="22"/>
  <c r="AK32" i="22"/>
  <c r="AJ32" i="22"/>
  <c r="Z32" i="22"/>
  <c r="AM32" i="22" s="1"/>
  <c r="X32" i="22"/>
  <c r="W32" i="22"/>
  <c r="AD32" i="22" s="1"/>
  <c r="V32" i="22"/>
  <c r="AY32" i="22" s="1"/>
  <c r="U32" i="22"/>
  <c r="AW32" i="22" s="1"/>
  <c r="R31" i="22"/>
  <c r="Q31" i="22"/>
  <c r="U30" i="22"/>
  <c r="AW30" i="22" s="1"/>
  <c r="R30" i="22"/>
  <c r="Q30" i="22"/>
  <c r="R28" i="22"/>
  <c r="Q28" i="22"/>
  <c r="Z27" i="22"/>
  <c r="Z11" i="22" s="1"/>
  <c r="AG11" i="22" s="1"/>
  <c r="Y27" i="22"/>
  <c r="AF27" i="22" s="1"/>
  <c r="X27" i="22"/>
  <c r="AE27" i="22" s="1"/>
  <c r="W27" i="22"/>
  <c r="AD27" i="22" s="1"/>
  <c r="V27" i="22"/>
  <c r="AA36" i="22" s="1"/>
  <c r="AN36" i="22" s="1"/>
  <c r="AV26" i="22"/>
  <c r="AV10" i="22" s="1"/>
  <c r="AU26" i="22"/>
  <c r="AU10" i="22" s="1"/>
  <c r="AT26" i="22"/>
  <c r="AS26" i="22"/>
  <c r="AR26" i="22"/>
  <c r="AU36" i="22" s="1"/>
  <c r="AG26" i="22"/>
  <c r="AF26" i="22"/>
  <c r="AE26" i="22"/>
  <c r="AD26" i="22"/>
  <c r="AC26" i="22"/>
  <c r="CF18" i="22"/>
  <c r="BE18" i="22"/>
  <c r="H18" i="22"/>
  <c r="BD18" i="22" s="1"/>
  <c r="G18" i="22"/>
  <c r="F18" i="22"/>
  <c r="AL18" i="22" s="1"/>
  <c r="E18" i="22"/>
  <c r="AK18" i="22" s="1"/>
  <c r="D18" i="22"/>
  <c r="B18" i="22"/>
  <c r="U18" i="22" s="1"/>
  <c r="CF17" i="22"/>
  <c r="CI15" i="22" s="1"/>
  <c r="BE17" i="22"/>
  <c r="H17" i="22"/>
  <c r="CE17" i="22" s="1"/>
  <c r="G17" i="22"/>
  <c r="F17" i="22"/>
  <c r="X17" i="22" s="1"/>
  <c r="AE17" i="22" s="1"/>
  <c r="E17" i="22"/>
  <c r="AK17" i="22" s="1"/>
  <c r="D17" i="22"/>
  <c r="C17" i="22"/>
  <c r="U17" i="22" s="1"/>
  <c r="B17" i="22"/>
  <c r="BH15" i="22"/>
  <c r="AV11" i="22"/>
  <c r="AU11" i="22"/>
  <c r="AT11" i="22"/>
  <c r="AS11" i="22"/>
  <c r="AR11" i="22"/>
  <c r="AV18" i="22" s="1"/>
  <c r="AT10" i="22"/>
  <c r="AS10" i="22"/>
  <c r="AR10" i="22"/>
  <c r="AU18" i="22" s="1"/>
  <c r="W11" i="22"/>
  <c r="AD11" i="22" s="1"/>
  <c r="Z10" i="22"/>
  <c r="AG10" i="22" s="1"/>
  <c r="Y10" i="22"/>
  <c r="AF10" i="22" s="1"/>
  <c r="X10" i="22"/>
  <c r="AE10" i="22" s="1"/>
  <c r="W10" i="22"/>
  <c r="AD10" i="22" s="1"/>
  <c r="V10" i="22"/>
  <c r="Z18" i="22" s="1"/>
  <c r="BK7" i="22"/>
  <c r="BI7" i="22"/>
  <c r="BG7" i="22"/>
  <c r="Q5" i="22"/>
  <c r="P5" i="22"/>
  <c r="L45" i="9"/>
  <c r="AP36" i="9"/>
  <c r="BY34" i="22" l="1"/>
  <c r="AW34" i="22"/>
  <c r="Y11" i="22"/>
  <c r="AF11" i="22" s="1"/>
  <c r="AG32" i="22"/>
  <c r="AC10" i="22"/>
  <c r="CG18" i="22"/>
  <c r="CG36" i="22"/>
  <c r="CG35" i="22" s="1"/>
  <c r="BY17" i="22"/>
  <c r="CZ17" i="22"/>
  <c r="BY32" i="22"/>
  <c r="CZ32" i="22"/>
  <c r="BY18" i="22"/>
  <c r="CZ18" i="22"/>
  <c r="BY30" i="22"/>
  <c r="CZ30" i="22"/>
  <c r="AV17" i="22"/>
  <c r="BY36" i="22"/>
  <c r="CZ36" i="22"/>
  <c r="Y36" i="22"/>
  <c r="CH36" i="22"/>
  <c r="CH35" i="22" s="1"/>
  <c r="CH18" i="22"/>
  <c r="AR36" i="22"/>
  <c r="BZ36" i="22" s="1"/>
  <c r="X11" i="22"/>
  <c r="AE11" i="22" s="1"/>
  <c r="AG27" i="22"/>
  <c r="AU32" i="22"/>
  <c r="CG32" i="22" s="1"/>
  <c r="CG31" i="22" s="1"/>
  <c r="CE18" i="22"/>
  <c r="AD36" i="22"/>
  <c r="AF36" i="22" s="1"/>
  <c r="V11" i="22"/>
  <c r="AL17" i="22"/>
  <c r="AC27" i="22"/>
  <c r="AA32" i="22"/>
  <c r="AN32" i="22" s="1"/>
  <c r="AC32" i="22"/>
  <c r="AC36" i="22"/>
  <c r="AR32" i="22"/>
  <c r="BZ32" i="22" s="1"/>
  <c r="BA32" i="22"/>
  <c r="BB36" i="22"/>
  <c r="BX36" i="22" s="1"/>
  <c r="BI36" i="22" s="1"/>
  <c r="AS36" i="22"/>
  <c r="CB36" i="22" s="1"/>
  <c r="W18" i="22"/>
  <c r="AD18" i="22" s="1"/>
  <c r="AS32" i="22"/>
  <c r="CB32" i="22" s="1"/>
  <c r="AT36" i="22"/>
  <c r="CC36" i="22" s="1"/>
  <c r="AT32" i="22"/>
  <c r="CC32" i="22" s="1"/>
  <c r="AW17" i="22"/>
  <c r="M64" i="22"/>
  <c r="M62" i="22"/>
  <c r="M60" i="22"/>
  <c r="M58" i="22"/>
  <c r="M56" i="22"/>
  <c r="L64" i="22"/>
  <c r="N63" i="22"/>
  <c r="L62" i="22"/>
  <c r="N61" i="22"/>
  <c r="L60" i="22"/>
  <c r="N59" i="22"/>
  <c r="L58" i="22"/>
  <c r="N57" i="22"/>
  <c r="L56" i="22"/>
  <c r="N55" i="22"/>
  <c r="N64" i="22"/>
  <c r="L63" i="22"/>
  <c r="N62" i="22"/>
  <c r="L61" i="22"/>
  <c r="N60" i="22"/>
  <c r="L59" i="22"/>
  <c r="N58" i="22"/>
  <c r="L57" i="22"/>
  <c r="N56" i="22"/>
  <c r="L55" i="22"/>
  <c r="W17" i="22"/>
  <c r="AU17" i="22"/>
  <c r="CG17" i="22" s="1"/>
  <c r="CG16" i="22" s="1"/>
  <c r="AJ18" i="22"/>
  <c r="V18" i="22"/>
  <c r="AE32" i="22"/>
  <c r="AF32" i="22" s="1"/>
  <c r="BB32" i="22"/>
  <c r="Y32" i="22"/>
  <c r="M61" i="22"/>
  <c r="BG36" i="22"/>
  <c r="AM18" i="22"/>
  <c r="AG18" i="22"/>
  <c r="AC11" i="22"/>
  <c r="BH32" i="22"/>
  <c r="BH36" i="22"/>
  <c r="AH36" i="22"/>
  <c r="BF36" i="22"/>
  <c r="M57" i="22"/>
  <c r="BB17" i="22"/>
  <c r="CI32" i="22"/>
  <c r="M59" i="22"/>
  <c r="V17" i="22"/>
  <c r="Z17" i="22"/>
  <c r="AJ17" i="22"/>
  <c r="BD17" i="22"/>
  <c r="AW18" i="22"/>
  <c r="CI36" i="22"/>
  <c r="BC36" i="22"/>
  <c r="M55" i="22"/>
  <c r="M63" i="22"/>
  <c r="X18" i="22"/>
  <c r="DG48" i="21"/>
  <c r="DF48" i="21"/>
  <c r="DB48" i="21"/>
  <c r="CF48" i="21"/>
  <c r="CI46" i="21" s="1"/>
  <c r="CE48" i="21"/>
  <c r="CA48" i="21"/>
  <c r="BE48" i="21"/>
  <c r="BH46" i="21" s="1"/>
  <c r="BD48" i="21"/>
  <c r="AZ48" i="21"/>
  <c r="AV48" i="21"/>
  <c r="AS48" i="21"/>
  <c r="DD48" i="21" s="1"/>
  <c r="AR48" i="21"/>
  <c r="DC48" i="21" s="1"/>
  <c r="AQ48" i="21"/>
  <c r="DA48" i="21" s="1"/>
  <c r="AE48" i="21"/>
  <c r="AD48" i="21"/>
  <c r="AC48" i="21"/>
  <c r="Z48" i="21"/>
  <c r="U48" i="21"/>
  <c r="CZ48" i="21" s="1"/>
  <c r="R47" i="21"/>
  <c r="Q47" i="21"/>
  <c r="DJ46" i="21"/>
  <c r="U46" i="21"/>
  <c r="R46" i="21"/>
  <c r="AF48" i="21" s="1"/>
  <c r="Q46" i="21"/>
  <c r="DG44" i="21"/>
  <c r="DJ42" i="21" s="1"/>
  <c r="DF44" i="21"/>
  <c r="DB44" i="21"/>
  <c r="CF44" i="21"/>
  <c r="CI42" i="21" s="1"/>
  <c r="CE44" i="21"/>
  <c r="CA44" i="21"/>
  <c r="BE44" i="21"/>
  <c r="BH42" i="21" s="1"/>
  <c r="BD44" i="21"/>
  <c r="AZ44" i="21"/>
  <c r="AV44" i="21"/>
  <c r="AS44" i="21"/>
  <c r="AR44" i="21"/>
  <c r="DC44" i="21" s="1"/>
  <c r="AQ44" i="21"/>
  <c r="DA44" i="21" s="1"/>
  <c r="AE44" i="21"/>
  <c r="AD44" i="21"/>
  <c r="AC44" i="21"/>
  <c r="Z44" i="21"/>
  <c r="U44" i="21"/>
  <c r="CZ44" i="21" s="1"/>
  <c r="R43" i="21"/>
  <c r="Q43" i="21"/>
  <c r="U42" i="21"/>
  <c r="R42" i="21"/>
  <c r="V44" i="21" s="1"/>
  <c r="Q42" i="21"/>
  <c r="DG40" i="21"/>
  <c r="DJ38" i="21" s="1"/>
  <c r="DF40" i="21"/>
  <c r="DB40" i="21"/>
  <c r="CF40" i="21"/>
  <c r="CI38" i="21" s="1"/>
  <c r="CE40" i="21"/>
  <c r="CA40" i="21"/>
  <c r="BE40" i="21"/>
  <c r="BH38" i="21" s="1"/>
  <c r="BD40" i="21"/>
  <c r="AZ40" i="21"/>
  <c r="AV40" i="21"/>
  <c r="AS40" i="21"/>
  <c r="AR40" i="21"/>
  <c r="DC40" i="21" s="1"/>
  <c r="AQ40" i="21"/>
  <c r="DA40" i="21" s="1"/>
  <c r="AE40" i="21"/>
  <c r="AD40" i="21"/>
  <c r="AC40" i="21"/>
  <c r="Z40" i="21"/>
  <c r="U40" i="21"/>
  <c r="CZ40" i="21" s="1"/>
  <c r="R39" i="21"/>
  <c r="Q39" i="21"/>
  <c r="U38" i="21"/>
  <c r="R38" i="21"/>
  <c r="Q38" i="21"/>
  <c r="L55" i="21"/>
  <c r="L54" i="21"/>
  <c r="DG36" i="21"/>
  <c r="DJ34" i="21" s="1"/>
  <c r="DF36" i="21"/>
  <c r="DB36" i="21"/>
  <c r="CF36" i="21"/>
  <c r="CE36" i="21"/>
  <c r="CA36" i="21"/>
  <c r="BE36" i="21"/>
  <c r="BH34" i="21" s="1"/>
  <c r="BD36" i="21"/>
  <c r="AZ36" i="21"/>
  <c r="AV36" i="21"/>
  <c r="AS36" i="21"/>
  <c r="DD36" i="21" s="1"/>
  <c r="AR36" i="21"/>
  <c r="DC36" i="21" s="1"/>
  <c r="AQ36" i="21"/>
  <c r="DA36" i="21" s="1"/>
  <c r="AE36" i="21"/>
  <c r="AD36" i="21"/>
  <c r="AC36" i="21"/>
  <c r="Z36" i="21"/>
  <c r="U36" i="21"/>
  <c r="R35" i="21"/>
  <c r="Q35" i="21"/>
  <c r="CI34" i="21"/>
  <c r="U34" i="21"/>
  <c r="R34" i="21"/>
  <c r="V36" i="21" s="1"/>
  <c r="AY36" i="21" s="1"/>
  <c r="Q34" i="21"/>
  <c r="DG32" i="21"/>
  <c r="DJ30" i="21" s="1"/>
  <c r="DF32" i="21"/>
  <c r="DB32" i="21"/>
  <c r="CF32" i="21"/>
  <c r="CJ30" i="21" s="1"/>
  <c r="CE32" i="21"/>
  <c r="CA32" i="21"/>
  <c r="BE32" i="21"/>
  <c r="BH30" i="21" s="1"/>
  <c r="BD32" i="21"/>
  <c r="AZ32" i="21"/>
  <c r="AV32" i="21"/>
  <c r="AS32" i="21"/>
  <c r="AR32" i="21"/>
  <c r="DC32" i="21" s="1"/>
  <c r="AQ32" i="21"/>
  <c r="DA32" i="21" s="1"/>
  <c r="AE32" i="21"/>
  <c r="AD32" i="21"/>
  <c r="AC32" i="21"/>
  <c r="Z32" i="21"/>
  <c r="U32" i="21"/>
  <c r="CZ32" i="21" s="1"/>
  <c r="R31" i="21"/>
  <c r="Q31" i="21"/>
  <c r="U30" i="21"/>
  <c r="R30" i="21"/>
  <c r="AI32" i="21" s="1"/>
  <c r="Q30" i="21"/>
  <c r="R28" i="21"/>
  <c r="L56" i="21" s="1"/>
  <c r="L57" i="21" s="1"/>
  <c r="Q28" i="21"/>
  <c r="Z27" i="21"/>
  <c r="Z11" i="21" s="1"/>
  <c r="Y27" i="21"/>
  <c r="Y11" i="21" s="1"/>
  <c r="X27" i="21"/>
  <c r="X11" i="21" s="1"/>
  <c r="W27" i="21"/>
  <c r="W11" i="21" s="1"/>
  <c r="V27" i="21"/>
  <c r="AA32" i="21" s="1"/>
  <c r="AU26" i="21"/>
  <c r="AU10" i="21" s="1"/>
  <c r="AT26" i="21"/>
  <c r="AT10" i="21" s="1"/>
  <c r="AS26" i="21"/>
  <c r="AS10" i="21" s="1"/>
  <c r="AR26" i="21"/>
  <c r="AR10" i="21" s="1"/>
  <c r="AQ26" i="21"/>
  <c r="AU36" i="21" s="1"/>
  <c r="AO26" i="21"/>
  <c r="AO10" i="21" s="1"/>
  <c r="AN26" i="21"/>
  <c r="AN10" i="21" s="1"/>
  <c r="AM26" i="21"/>
  <c r="AM10" i="21" s="1"/>
  <c r="AL26" i="21"/>
  <c r="AL10" i="21" s="1"/>
  <c r="AK26" i="21"/>
  <c r="DN18" i="21"/>
  <c r="DG18" i="21"/>
  <c r="CM18" i="21"/>
  <c r="CF18" i="21"/>
  <c r="BL18" i="21"/>
  <c r="BE18" i="21"/>
  <c r="AO18" i="21"/>
  <c r="Z18" i="21"/>
  <c r="H18" i="21"/>
  <c r="CE18" i="21" s="1"/>
  <c r="G18" i="21"/>
  <c r="F18" i="21"/>
  <c r="N18" i="21" s="1"/>
  <c r="AS18" i="21" s="1"/>
  <c r="E18" i="21"/>
  <c r="M18" i="21" s="1"/>
  <c r="AR18" i="21" s="1"/>
  <c r="DC18" i="21" s="1"/>
  <c r="D18" i="21"/>
  <c r="AC18" i="21" s="1"/>
  <c r="B18" i="21"/>
  <c r="U18" i="21" s="1"/>
  <c r="DG17" i="21"/>
  <c r="DJ15" i="21" s="1"/>
  <c r="CF17" i="21"/>
  <c r="CI15" i="21" s="1"/>
  <c r="BE17" i="21"/>
  <c r="BH15" i="21" s="1"/>
  <c r="AO17" i="21"/>
  <c r="Z17" i="21"/>
  <c r="H17" i="21"/>
  <c r="DF17" i="21" s="1"/>
  <c r="G17" i="21"/>
  <c r="F17" i="21"/>
  <c r="AE17" i="21" s="1"/>
  <c r="E17" i="21"/>
  <c r="M17" i="21" s="1"/>
  <c r="AR17" i="21" s="1"/>
  <c r="DC17" i="21" s="1"/>
  <c r="D17" i="21"/>
  <c r="L79" i="21" s="1"/>
  <c r="C17" i="21"/>
  <c r="U17" i="21" s="1"/>
  <c r="CZ17" i="21" s="1"/>
  <c r="B17" i="21"/>
  <c r="AU11" i="21"/>
  <c r="AT11" i="21"/>
  <c r="AS11" i="21"/>
  <c r="AR11" i="21"/>
  <c r="AQ11" i="21"/>
  <c r="AV18" i="21" s="1"/>
  <c r="AO11" i="21"/>
  <c r="AN11" i="21"/>
  <c r="AM11" i="21"/>
  <c r="AL11" i="21"/>
  <c r="AK11" i="21"/>
  <c r="Z10" i="21"/>
  <c r="Y10" i="21"/>
  <c r="X10" i="21"/>
  <c r="W10" i="21"/>
  <c r="V10" i="21"/>
  <c r="BK7" i="21"/>
  <c r="BI7" i="21"/>
  <c r="BG7" i="21"/>
  <c r="Q5" i="21"/>
  <c r="P5" i="21"/>
  <c r="L44" i="20"/>
  <c r="L43" i="20"/>
  <c r="DG36" i="20"/>
  <c r="DJ34" i="20" s="1"/>
  <c r="DF36" i="20"/>
  <c r="DB36" i="20"/>
  <c r="CF36" i="20"/>
  <c r="CI34" i="20" s="1"/>
  <c r="CE36" i="20"/>
  <c r="CA36" i="20"/>
  <c r="BE36" i="20"/>
  <c r="BH34" i="20" s="1"/>
  <c r="BD36" i="20"/>
  <c r="AZ36" i="20"/>
  <c r="AV36" i="20"/>
  <c r="AS36" i="20"/>
  <c r="AR36" i="20"/>
  <c r="DC36" i="20" s="1"/>
  <c r="AQ36" i="20"/>
  <c r="DA36" i="20" s="1"/>
  <c r="DJ36" i="20" s="1"/>
  <c r="AE36" i="20"/>
  <c r="AD36" i="20"/>
  <c r="AC36" i="20"/>
  <c r="Z36" i="20"/>
  <c r="U36" i="20"/>
  <c r="AW36" i="20" s="1"/>
  <c r="R35" i="20"/>
  <c r="Q35" i="20"/>
  <c r="U34" i="20"/>
  <c r="R34" i="20"/>
  <c r="V36" i="20" s="1"/>
  <c r="Q34" i="20"/>
  <c r="DG32" i="20"/>
  <c r="DF32" i="20"/>
  <c r="DC32" i="20"/>
  <c r="DB32" i="20"/>
  <c r="CF32" i="20"/>
  <c r="CE32" i="20"/>
  <c r="CA32" i="20"/>
  <c r="BE32" i="20"/>
  <c r="BH30" i="20" s="1"/>
  <c r="BD32" i="20"/>
  <c r="AZ32" i="20"/>
  <c r="AV32" i="20"/>
  <c r="AS32" i="20"/>
  <c r="AR32" i="20"/>
  <c r="AQ32" i="20"/>
  <c r="DA32" i="20" s="1"/>
  <c r="AE32" i="20"/>
  <c r="AD32" i="20"/>
  <c r="AC32" i="20"/>
  <c r="Z32" i="20"/>
  <c r="U32" i="20"/>
  <c r="CZ32" i="20" s="1"/>
  <c r="R31" i="20"/>
  <c r="Q31" i="20"/>
  <c r="DJ30" i="20"/>
  <c r="CJ30" i="20"/>
  <c r="U30" i="20"/>
  <c r="R30" i="20"/>
  <c r="AI32" i="20" s="1"/>
  <c r="AK32" i="20" s="1"/>
  <c r="BZ32" i="20" s="1"/>
  <c r="Q30" i="20"/>
  <c r="R28" i="20"/>
  <c r="L45" i="20" s="1"/>
  <c r="L46" i="20" s="1"/>
  <c r="Q28" i="20"/>
  <c r="Z27" i="20"/>
  <c r="Y27" i="20"/>
  <c r="X27" i="20"/>
  <c r="W27" i="20"/>
  <c r="W11" i="20" s="1"/>
  <c r="V27" i="20"/>
  <c r="AA32" i="20" s="1"/>
  <c r="AG32" i="20" s="1"/>
  <c r="AU26" i="20"/>
  <c r="AU10" i="20" s="1"/>
  <c r="AT26" i="20"/>
  <c r="AS26" i="20"/>
  <c r="AS10" i="20" s="1"/>
  <c r="AR26" i="20"/>
  <c r="AR10" i="20" s="1"/>
  <c r="AQ26" i="20"/>
  <c r="AU36" i="20" s="1"/>
  <c r="AO26" i="20"/>
  <c r="AN26" i="20"/>
  <c r="AN10" i="20" s="1"/>
  <c r="AM26" i="20"/>
  <c r="AM10" i="20" s="1"/>
  <c r="AL26" i="20"/>
  <c r="AL10" i="20" s="1"/>
  <c r="AK26" i="20"/>
  <c r="DN18" i="20"/>
  <c r="DG18" i="20"/>
  <c r="CM18" i="20"/>
  <c r="CF18" i="20"/>
  <c r="BL18" i="20"/>
  <c r="BE18" i="20"/>
  <c r="AO18" i="20"/>
  <c r="Z18" i="20"/>
  <c r="H18" i="20"/>
  <c r="CE18" i="20" s="1"/>
  <c r="G18" i="20"/>
  <c r="F18" i="20"/>
  <c r="N18" i="20" s="1"/>
  <c r="AS18" i="20" s="1"/>
  <c r="E18" i="20"/>
  <c r="AD18" i="20" s="1"/>
  <c r="D18" i="20"/>
  <c r="L18" i="20" s="1"/>
  <c r="R18" i="20" s="1"/>
  <c r="AI18" i="20" s="1"/>
  <c r="B18" i="20"/>
  <c r="U18" i="20" s="1"/>
  <c r="DG17" i="20"/>
  <c r="DJ15" i="20" s="1"/>
  <c r="CF17" i="20"/>
  <c r="BE17" i="20"/>
  <c r="BH15" i="20" s="1"/>
  <c r="AO17" i="20"/>
  <c r="Z17" i="20"/>
  <c r="AA17" i="20" s="1"/>
  <c r="H17" i="20"/>
  <c r="BD17" i="20" s="1"/>
  <c r="G17" i="20"/>
  <c r="F17" i="20"/>
  <c r="AE17" i="20" s="1"/>
  <c r="E17" i="20"/>
  <c r="AD17" i="20" s="1"/>
  <c r="D17" i="20"/>
  <c r="N66" i="20" s="1"/>
  <c r="C17" i="20"/>
  <c r="U17" i="20" s="1"/>
  <c r="CZ17" i="20" s="1"/>
  <c r="B17" i="20"/>
  <c r="CI15" i="20"/>
  <c r="AU11" i="20"/>
  <c r="AT11" i="20"/>
  <c r="AS11" i="20"/>
  <c r="AR11" i="20"/>
  <c r="AQ11" i="20"/>
  <c r="AV17" i="20" s="1"/>
  <c r="AO11" i="20"/>
  <c r="AN11" i="20"/>
  <c r="AM11" i="20"/>
  <c r="AL11" i="20"/>
  <c r="AK11" i="20"/>
  <c r="Z11" i="20"/>
  <c r="Y11" i="20"/>
  <c r="X11" i="20"/>
  <c r="AT10" i="20"/>
  <c r="AQ10" i="20"/>
  <c r="AU18" i="20" s="1"/>
  <c r="AO10" i="20"/>
  <c r="AK10" i="20"/>
  <c r="Z10" i="20"/>
  <c r="Y10" i="20"/>
  <c r="X10" i="20"/>
  <c r="W10" i="20"/>
  <c r="V10" i="20"/>
  <c r="BK7" i="20"/>
  <c r="BI7" i="20"/>
  <c r="BG7" i="20"/>
  <c r="Q5" i="20"/>
  <c r="P5" i="20"/>
  <c r="U34" i="5"/>
  <c r="U30" i="5"/>
  <c r="U34" i="9"/>
  <c r="U30" i="9"/>
  <c r="R35" i="9"/>
  <c r="R34" i="9"/>
  <c r="R31" i="9"/>
  <c r="R30" i="9"/>
  <c r="R28" i="9"/>
  <c r="AN32" i="20" l="1"/>
  <c r="AN36" i="20"/>
  <c r="BY34" i="9"/>
  <c r="AW34" i="9"/>
  <c r="AW30" i="9"/>
  <c r="CZ30" i="9"/>
  <c r="BY30" i="9"/>
  <c r="AK10" i="21"/>
  <c r="AN48" i="21"/>
  <c r="AN40" i="21"/>
  <c r="AN32" i="21"/>
  <c r="AN44" i="21"/>
  <c r="AN36" i="21"/>
  <c r="CH17" i="22"/>
  <c r="CH16" i="22" s="1"/>
  <c r="DH36" i="21"/>
  <c r="DH35" i="21" s="1"/>
  <c r="DI36" i="21"/>
  <c r="DI35" i="21" s="1"/>
  <c r="DH36" i="20"/>
  <c r="DH35" i="20" s="1"/>
  <c r="DI36" i="20"/>
  <c r="DI35" i="20" s="1"/>
  <c r="BA18" i="22"/>
  <c r="CY36" i="22"/>
  <c r="CU36" i="22" s="1"/>
  <c r="CW36" i="22" s="1"/>
  <c r="CH32" i="22"/>
  <c r="CH31" i="22" s="1"/>
  <c r="CU30" i="22" s="1"/>
  <c r="CD36" i="22"/>
  <c r="BG32" i="22"/>
  <c r="CG32" i="20"/>
  <c r="CG31" i="20" s="1"/>
  <c r="CG36" i="20"/>
  <c r="CG35" i="20" s="1"/>
  <c r="CG17" i="20"/>
  <c r="CG16" i="20" s="1"/>
  <c r="CG18" i="20"/>
  <c r="CO18" i="20" s="1"/>
  <c r="CH36" i="20"/>
  <c r="CH35" i="20" s="1"/>
  <c r="CH17" i="20"/>
  <c r="CH16" i="20" s="1"/>
  <c r="CH18" i="20"/>
  <c r="CU18" i="20" s="1"/>
  <c r="CW18" i="20" s="1"/>
  <c r="CH32" i="20"/>
  <c r="CH31" i="20" s="1"/>
  <c r="CG48" i="21"/>
  <c r="CG47" i="21" s="1"/>
  <c r="CG40" i="21"/>
  <c r="CG39" i="21" s="1"/>
  <c r="CG32" i="21"/>
  <c r="CG31" i="21" s="1"/>
  <c r="CG18" i="21"/>
  <c r="CG17" i="21"/>
  <c r="CG16" i="21" s="1"/>
  <c r="CG44" i="21"/>
  <c r="CG43" i="21" s="1"/>
  <c r="CG36" i="21"/>
  <c r="CG35" i="21" s="1"/>
  <c r="CH48" i="21"/>
  <c r="CH47" i="21" s="1"/>
  <c r="CU46" i="21" s="1"/>
  <c r="CH17" i="21"/>
  <c r="CH16" i="21" s="1"/>
  <c r="CH44" i="21"/>
  <c r="CH43" i="21" s="1"/>
  <c r="CU42" i="21" s="1"/>
  <c r="CH36" i="21"/>
  <c r="CH35" i="21" s="1"/>
  <c r="CH32" i="21"/>
  <c r="CH31" i="21" s="1"/>
  <c r="CH18" i="21"/>
  <c r="CH40" i="21"/>
  <c r="CH39" i="21" s="1"/>
  <c r="CU38" i="21" s="1"/>
  <c r="CD32" i="22"/>
  <c r="AA18" i="22"/>
  <c r="AA17" i="22"/>
  <c r="AH32" i="22"/>
  <c r="BF32" i="22"/>
  <c r="BF31" i="22" s="1"/>
  <c r="BN30" i="22" s="1"/>
  <c r="CY32" i="22"/>
  <c r="CK32" i="22" s="1"/>
  <c r="CK36" i="22"/>
  <c r="CU34" i="22"/>
  <c r="AD17" i="22"/>
  <c r="AF17" i="22" s="1"/>
  <c r="BA17" i="22"/>
  <c r="BX17" i="22" s="1"/>
  <c r="BN36" i="22"/>
  <c r="BF35" i="22"/>
  <c r="BN34" i="22" s="1"/>
  <c r="CO32" i="22"/>
  <c r="CO30" i="22"/>
  <c r="AC18" i="22"/>
  <c r="L18" i="22"/>
  <c r="AP18" i="22" s="1"/>
  <c r="AR18" i="22" s="1"/>
  <c r="BZ18" i="22" s="1"/>
  <c r="AY18" i="22"/>
  <c r="CO34" i="22"/>
  <c r="Y17" i="22"/>
  <c r="BC32" i="22"/>
  <c r="BX32" i="22"/>
  <c r="BT32" i="22" s="1"/>
  <c r="BV32" i="22" s="1"/>
  <c r="AY17" i="22"/>
  <c r="AC17" i="22"/>
  <c r="L17" i="22"/>
  <c r="CU32" i="22"/>
  <c r="CW32" i="22" s="1"/>
  <c r="Y18" i="22"/>
  <c r="BB18" i="22"/>
  <c r="AE18" i="22"/>
  <c r="AF18" i="22" s="1"/>
  <c r="BJ36" i="22"/>
  <c r="BK36" i="22" s="1"/>
  <c r="AM17" i="22"/>
  <c r="AG17" i="22"/>
  <c r="BG35" i="22"/>
  <c r="BT34" i="22" s="1"/>
  <c r="BT36" i="22"/>
  <c r="BV36" i="22" s="1"/>
  <c r="BG31" i="22"/>
  <c r="BT30" i="22" s="1"/>
  <c r="M88" i="21"/>
  <c r="AT40" i="21"/>
  <c r="N93" i="21"/>
  <c r="AA40" i="21"/>
  <c r="AG40" i="21" s="1"/>
  <c r="AU40" i="21"/>
  <c r="DI40" i="21" s="1"/>
  <c r="DI39" i="21" s="1"/>
  <c r="N89" i="21"/>
  <c r="M84" i="21"/>
  <c r="AA44" i="21"/>
  <c r="BF44" i="21" s="1"/>
  <c r="AT32" i="21"/>
  <c r="M92" i="21"/>
  <c r="L87" i="21"/>
  <c r="AF40" i="21"/>
  <c r="L91" i="21"/>
  <c r="N85" i="21"/>
  <c r="AT44" i="21"/>
  <c r="M93" i="21"/>
  <c r="N90" i="21"/>
  <c r="L88" i="21"/>
  <c r="M85" i="21"/>
  <c r="AU44" i="21"/>
  <c r="DI44" i="21" s="1"/>
  <c r="DI43" i="21" s="1"/>
  <c r="L93" i="21"/>
  <c r="N91" i="21"/>
  <c r="M90" i="21"/>
  <c r="L89" i="21"/>
  <c r="N87" i="21"/>
  <c r="M86" i="21"/>
  <c r="L85" i="21"/>
  <c r="AA48" i="21"/>
  <c r="AG48" i="21" s="1"/>
  <c r="BY48" i="21"/>
  <c r="AF44" i="21"/>
  <c r="BD17" i="21"/>
  <c r="L92" i="21"/>
  <c r="M89" i="21"/>
  <c r="N86" i="21"/>
  <c r="L84" i="21"/>
  <c r="AG44" i="21"/>
  <c r="AW48" i="21"/>
  <c r="N92" i="21"/>
  <c r="M91" i="21"/>
  <c r="L90" i="21"/>
  <c r="N88" i="21"/>
  <c r="M87" i="21"/>
  <c r="L86" i="21"/>
  <c r="N84" i="21"/>
  <c r="AU48" i="21"/>
  <c r="AU17" i="20"/>
  <c r="DI17" i="20" s="1"/>
  <c r="CE17" i="20"/>
  <c r="DJ48" i="21"/>
  <c r="DZ48" i="21"/>
  <c r="DL48" i="21" s="1"/>
  <c r="DE48" i="21"/>
  <c r="AI48" i="21"/>
  <c r="AT48" i="21"/>
  <c r="V48" i="21"/>
  <c r="W44" i="21"/>
  <c r="BA44" i="21" s="1"/>
  <c r="AY44" i="21"/>
  <c r="X44" i="21"/>
  <c r="DJ44" i="21"/>
  <c r="AW44" i="21"/>
  <c r="BY44" i="21"/>
  <c r="DD44" i="21"/>
  <c r="AI44" i="21"/>
  <c r="DJ40" i="21"/>
  <c r="AW40" i="21"/>
  <c r="BF40" i="21"/>
  <c r="BY40" i="21"/>
  <c r="DD40" i="21"/>
  <c r="AI40" i="21"/>
  <c r="AL40" i="21" s="1"/>
  <c r="CB40" i="21" s="1"/>
  <c r="V40" i="21"/>
  <c r="AQ10" i="21"/>
  <c r="CE17" i="21"/>
  <c r="AE18" i="21"/>
  <c r="V11" i="21"/>
  <c r="L17" i="21"/>
  <c r="AQ17" i="21" s="1"/>
  <c r="DA17" i="21" s="1"/>
  <c r="DJ17" i="21" s="1"/>
  <c r="L18" i="21"/>
  <c r="V18" i="21" s="1"/>
  <c r="AY18" i="21" s="1"/>
  <c r="AM32" i="21"/>
  <c r="CC32" i="21" s="1"/>
  <c r="AW32" i="21"/>
  <c r="BY32" i="21"/>
  <c r="AF36" i="21"/>
  <c r="AI36" i="21"/>
  <c r="AK36" i="21" s="1"/>
  <c r="BZ36" i="21" s="1"/>
  <c r="CI36" i="21" s="1"/>
  <c r="DE36" i="21"/>
  <c r="AF32" i="21"/>
  <c r="AG32" i="21"/>
  <c r="AT36" i="21"/>
  <c r="N72" i="21"/>
  <c r="AF17" i="21"/>
  <c r="L75" i="21"/>
  <c r="AK32" i="21"/>
  <c r="BZ32" i="21" s="1"/>
  <c r="CI32" i="21" s="1"/>
  <c r="N80" i="21"/>
  <c r="L83" i="21"/>
  <c r="V11" i="20"/>
  <c r="BY36" i="20"/>
  <c r="CZ36" i="20"/>
  <c r="N62" i="20"/>
  <c r="AV18" i="20"/>
  <c r="DH18" i="20" s="1"/>
  <c r="AA36" i="20"/>
  <c r="BF36" i="20" s="1"/>
  <c r="DP34" i="20"/>
  <c r="L65" i="20"/>
  <c r="DF17" i="20"/>
  <c r="AL18" i="20"/>
  <c r="CB18" i="20" s="1"/>
  <c r="V18" i="20"/>
  <c r="X18" i="20" s="1"/>
  <c r="AF32" i="20"/>
  <c r="AU32" i="20"/>
  <c r="DH32" i="20" s="1"/>
  <c r="DH31" i="20" s="1"/>
  <c r="AM32" i="20"/>
  <c r="CC32" i="20" s="1"/>
  <c r="AT32" i="20"/>
  <c r="AF36" i="20"/>
  <c r="AF18" i="20"/>
  <c r="AL32" i="20"/>
  <c r="CB32" i="20" s="1"/>
  <c r="L61" i="20"/>
  <c r="M65" i="20"/>
  <c r="M18" i="20"/>
  <c r="AR18" i="20" s="1"/>
  <c r="DC18" i="20" s="1"/>
  <c r="M17" i="20"/>
  <c r="AR17" i="20" s="1"/>
  <c r="DC17" i="20" s="1"/>
  <c r="AE18" i="20"/>
  <c r="AM18" i="20" s="1"/>
  <c r="CC18" i="20" s="1"/>
  <c r="M61" i="20"/>
  <c r="BH36" i="21"/>
  <c r="DD18" i="21"/>
  <c r="AT18" i="21"/>
  <c r="AD17" i="21"/>
  <c r="BY17" i="21"/>
  <c r="N17" i="21"/>
  <c r="AS17" i="21" s="1"/>
  <c r="AA17" i="21"/>
  <c r="AV17" i="21"/>
  <c r="AL32" i="21"/>
  <c r="CB32" i="21" s="1"/>
  <c r="L71" i="21"/>
  <c r="N76" i="21"/>
  <c r="CZ18" i="21"/>
  <c r="AW18" i="21"/>
  <c r="BY18" i="21"/>
  <c r="M83" i="21"/>
  <c r="M81" i="21"/>
  <c r="M79" i="21"/>
  <c r="M77" i="21"/>
  <c r="M75" i="21"/>
  <c r="M73" i="21"/>
  <c r="M71" i="21"/>
  <c r="M82" i="21"/>
  <c r="M80" i="21"/>
  <c r="M78" i="21"/>
  <c r="M76" i="21"/>
  <c r="M74" i="21"/>
  <c r="M72" i="21"/>
  <c r="M70" i="21"/>
  <c r="N83" i="21"/>
  <c r="L82" i="21"/>
  <c r="N81" i="21"/>
  <c r="L80" i="21"/>
  <c r="N79" i="21"/>
  <c r="L78" i="21"/>
  <c r="N77" i="21"/>
  <c r="L76" i="21"/>
  <c r="N75" i="21"/>
  <c r="L74" i="21"/>
  <c r="N73" i="21"/>
  <c r="L72" i="21"/>
  <c r="N71" i="21"/>
  <c r="L70" i="21"/>
  <c r="AC17" i="21"/>
  <c r="AW17" i="21"/>
  <c r="AD18" i="21"/>
  <c r="BD18" i="21"/>
  <c r="DF18" i="21"/>
  <c r="DJ32" i="21"/>
  <c r="DD32" i="21"/>
  <c r="X36" i="21"/>
  <c r="W36" i="21"/>
  <c r="BA36" i="21" s="1"/>
  <c r="DZ36" i="21"/>
  <c r="DL36" i="21" s="1"/>
  <c r="N74" i="21"/>
  <c r="L77" i="21"/>
  <c r="N82" i="21"/>
  <c r="BG32" i="21"/>
  <c r="BF32" i="21"/>
  <c r="DJ36" i="21"/>
  <c r="V17" i="21"/>
  <c r="AA18" i="21"/>
  <c r="CZ36" i="21"/>
  <c r="BY36" i="21"/>
  <c r="AW36" i="21"/>
  <c r="N70" i="21"/>
  <c r="L73" i="21"/>
  <c r="N78" i="21"/>
  <c r="L81" i="21"/>
  <c r="V32" i="21"/>
  <c r="AU32" i="21"/>
  <c r="DI32" i="21" s="1"/>
  <c r="DI31" i="21" s="1"/>
  <c r="AA36" i="21"/>
  <c r="AG36" i="21" s="1"/>
  <c r="DD18" i="20"/>
  <c r="BY18" i="20"/>
  <c r="AW18" i="20"/>
  <c r="N17" i="20"/>
  <c r="AS17" i="20" s="1"/>
  <c r="CZ18" i="20"/>
  <c r="BY17" i="20"/>
  <c r="AW17" i="20"/>
  <c r="BF17" i="20"/>
  <c r="AA18" i="20"/>
  <c r="CI32" i="20"/>
  <c r="AY36" i="20"/>
  <c r="X36" i="20"/>
  <c r="W36" i="20"/>
  <c r="BA36" i="20" s="1"/>
  <c r="AT36" i="20"/>
  <c r="DD36" i="20"/>
  <c r="W18" i="20"/>
  <c r="BA18" i="20" s="1"/>
  <c r="AQ18" i="20"/>
  <c r="DA18" i="20" s="1"/>
  <c r="BF32" i="20"/>
  <c r="M68" i="20"/>
  <c r="M66" i="20"/>
  <c r="M64" i="20"/>
  <c r="M62" i="20"/>
  <c r="M60" i="20"/>
  <c r="L68" i="20"/>
  <c r="N67" i="20"/>
  <c r="L66" i="20"/>
  <c r="N65" i="20"/>
  <c r="L64" i="20"/>
  <c r="N63" i="20"/>
  <c r="L62" i="20"/>
  <c r="N61" i="20"/>
  <c r="L60" i="20"/>
  <c r="N59" i="20"/>
  <c r="AC17" i="20"/>
  <c r="BG17" i="20"/>
  <c r="AC18" i="20"/>
  <c r="AK18" i="20" s="1"/>
  <c r="BZ18" i="20" s="1"/>
  <c r="L59" i="20"/>
  <c r="N60" i="20"/>
  <c r="L63" i="20"/>
  <c r="N64" i="20"/>
  <c r="L67" i="20"/>
  <c r="N68" i="20"/>
  <c r="BG32" i="20"/>
  <c r="BG36" i="20"/>
  <c r="L17" i="20"/>
  <c r="AG17" i="20" s="1"/>
  <c r="BD18" i="20"/>
  <c r="DF18" i="20"/>
  <c r="V32" i="20"/>
  <c r="DJ32" i="20"/>
  <c r="M59" i="20"/>
  <c r="M63" i="20"/>
  <c r="M67" i="20"/>
  <c r="AW32" i="20"/>
  <c r="BY32" i="20"/>
  <c r="DD32" i="20"/>
  <c r="AI36" i="20"/>
  <c r="DI16" i="20" l="1"/>
  <c r="DV15" i="20" s="1"/>
  <c r="DV17" i="20"/>
  <c r="DX17" i="20" s="1"/>
  <c r="BF48" i="21"/>
  <c r="DI32" i="20"/>
  <c r="DI31" i="20" s="1"/>
  <c r="DH44" i="21"/>
  <c r="DH43" i="21" s="1"/>
  <c r="AY18" i="20"/>
  <c r="DV38" i="21"/>
  <c r="CJ36" i="22"/>
  <c r="DI18" i="20"/>
  <c r="DV18" i="20" s="1"/>
  <c r="DX18" i="20" s="1"/>
  <c r="DH17" i="20"/>
  <c r="DH16" i="20" s="1"/>
  <c r="DH32" i="21"/>
  <c r="DH31" i="21" s="1"/>
  <c r="DH48" i="21"/>
  <c r="DH47" i="21" s="1"/>
  <c r="DV44" i="21"/>
  <c r="DX44" i="21" s="1"/>
  <c r="DI48" i="21"/>
  <c r="DI47" i="21" s="1"/>
  <c r="DV46" i="21" s="1"/>
  <c r="DH40" i="21"/>
  <c r="DH39" i="21" s="1"/>
  <c r="CN18" i="20"/>
  <c r="BN32" i="22"/>
  <c r="CO36" i="22"/>
  <c r="AH18" i="22"/>
  <c r="BG18" i="22"/>
  <c r="AN18" i="22"/>
  <c r="BF18" i="22"/>
  <c r="AN17" i="22"/>
  <c r="BG17" i="22"/>
  <c r="AH17" i="22"/>
  <c r="BF17" i="22"/>
  <c r="CJ32" i="22"/>
  <c r="CL32" i="22" s="1"/>
  <c r="CL36" i="22"/>
  <c r="CI18" i="22"/>
  <c r="AT18" i="22"/>
  <c r="CC18" i="22" s="1"/>
  <c r="AS18" i="22"/>
  <c r="BP32" i="22"/>
  <c r="BW32" i="22"/>
  <c r="BQ32" i="22"/>
  <c r="BS32" i="22" s="1"/>
  <c r="BM32" i="22"/>
  <c r="BJ32" i="22"/>
  <c r="BI32" i="22"/>
  <c r="CX36" i="22"/>
  <c r="CR36" i="22"/>
  <c r="CT36" i="22" s="1"/>
  <c r="CQ36" i="22"/>
  <c r="BW36" i="22"/>
  <c r="BQ36" i="22"/>
  <c r="BS36" i="22" s="1"/>
  <c r="BP36" i="22"/>
  <c r="BC17" i="22"/>
  <c r="BX18" i="22"/>
  <c r="BI18" i="22" s="1"/>
  <c r="BC18" i="22"/>
  <c r="AP17" i="22"/>
  <c r="L46" i="22"/>
  <c r="L47" i="22" s="1"/>
  <c r="BH17" i="22"/>
  <c r="BI17" i="22"/>
  <c r="BJ17" i="22"/>
  <c r="BH18" i="22"/>
  <c r="CQ32" i="22"/>
  <c r="CX32" i="22"/>
  <c r="CR32" i="22"/>
  <c r="CT32" i="22" s="1"/>
  <c r="CM32" i="22"/>
  <c r="CN32" i="22"/>
  <c r="DP38" i="21"/>
  <c r="BG40" i="21"/>
  <c r="AF18" i="21"/>
  <c r="AG17" i="21"/>
  <c r="W18" i="21"/>
  <c r="BA18" i="21" s="1"/>
  <c r="DV40" i="21"/>
  <c r="DX40" i="21" s="1"/>
  <c r="AM36" i="21"/>
  <c r="CC36" i="21" s="1"/>
  <c r="BG44" i="21"/>
  <c r="BT44" i="21" s="1"/>
  <c r="BV44" i="21" s="1"/>
  <c r="DV48" i="21"/>
  <c r="DX48" i="21" s="1"/>
  <c r="X18" i="21"/>
  <c r="BB18" i="21" s="1"/>
  <c r="R18" i="21"/>
  <c r="AI18" i="21" s="1"/>
  <c r="AK18" i="21" s="1"/>
  <c r="BZ18" i="21" s="1"/>
  <c r="CI18" i="21" s="1"/>
  <c r="R17" i="21"/>
  <c r="AI17" i="21" s="1"/>
  <c r="AM17" i="21" s="1"/>
  <c r="CC17" i="21" s="1"/>
  <c r="AQ18" i="21"/>
  <c r="DA18" i="21" s="1"/>
  <c r="DJ18" i="21" s="1"/>
  <c r="DV42" i="21"/>
  <c r="CO46" i="21"/>
  <c r="AG18" i="21"/>
  <c r="DP42" i="21"/>
  <c r="BG48" i="21"/>
  <c r="AT18" i="20"/>
  <c r="CY18" i="20"/>
  <c r="AG36" i="20"/>
  <c r="CY32" i="21"/>
  <c r="CJ32" i="21" s="1"/>
  <c r="CD32" i="20"/>
  <c r="CQ18" i="20"/>
  <c r="AL48" i="21"/>
  <c r="CB48" i="21" s="1"/>
  <c r="AM48" i="21"/>
  <c r="CC48" i="21" s="1"/>
  <c r="DK48" i="21"/>
  <c r="DM48" i="21" s="1"/>
  <c r="W48" i="21"/>
  <c r="BA48" i="21" s="1"/>
  <c r="X48" i="21"/>
  <c r="AY48" i="21"/>
  <c r="AK48" i="21"/>
  <c r="BZ48" i="21" s="1"/>
  <c r="CO42" i="21"/>
  <c r="AL44" i="21"/>
  <c r="CB44" i="21" s="1"/>
  <c r="AK44" i="21"/>
  <c r="BZ44" i="21" s="1"/>
  <c r="BH44" i="21"/>
  <c r="BF43" i="21"/>
  <c r="BN42" i="21" s="1"/>
  <c r="BN44" i="21"/>
  <c r="DZ44" i="21"/>
  <c r="DE44" i="21"/>
  <c r="AM44" i="21"/>
  <c r="CC44" i="21" s="1"/>
  <c r="Y44" i="21"/>
  <c r="BB44" i="21"/>
  <c r="DZ40" i="21"/>
  <c r="DE40" i="21"/>
  <c r="W40" i="21"/>
  <c r="BA40" i="21" s="1"/>
  <c r="AY40" i="21"/>
  <c r="X40" i="21"/>
  <c r="CO38" i="21"/>
  <c r="AM40" i="21"/>
  <c r="CC40" i="21" s="1"/>
  <c r="AK40" i="21"/>
  <c r="BZ40" i="21" s="1"/>
  <c r="BF39" i="21"/>
  <c r="BN38" i="21" s="1"/>
  <c r="BN40" i="21"/>
  <c r="AU17" i="21"/>
  <c r="AU18" i="21"/>
  <c r="DK36" i="21"/>
  <c r="DM36" i="21" s="1"/>
  <c r="AL36" i="21"/>
  <c r="CB36" i="21" s="1"/>
  <c r="CY36" i="21" s="1"/>
  <c r="CO36" i="21" s="1"/>
  <c r="BF35" i="20"/>
  <c r="BN34" i="20" s="1"/>
  <c r="BN36" i="20"/>
  <c r="DP18" i="20"/>
  <c r="DR18" i="20" s="1"/>
  <c r="CY32" i="20"/>
  <c r="DP36" i="20"/>
  <c r="DR36" i="20" s="1"/>
  <c r="CD18" i="20"/>
  <c r="DP30" i="21"/>
  <c r="DP32" i="21"/>
  <c r="CD32" i="21"/>
  <c r="BG18" i="21"/>
  <c r="DE32" i="21"/>
  <c r="DZ32" i="21"/>
  <c r="BG17" i="21"/>
  <c r="BF36" i="21"/>
  <c r="L58" i="21"/>
  <c r="L59" i="21" s="1"/>
  <c r="BF17" i="21"/>
  <c r="BH18" i="21"/>
  <c r="DV36" i="21"/>
  <c r="DX36" i="21" s="1"/>
  <c r="DV34" i="21"/>
  <c r="CO30" i="21"/>
  <c r="CO32" i="21"/>
  <c r="BG31" i="21"/>
  <c r="BT30" i="21" s="1"/>
  <c r="BT32" i="21"/>
  <c r="BV32" i="21" s="1"/>
  <c r="DP36" i="21"/>
  <c r="DP34" i="21"/>
  <c r="AY32" i="21"/>
  <c r="W32" i="21"/>
  <c r="BA32" i="21" s="1"/>
  <c r="X32" i="21"/>
  <c r="X17" i="21"/>
  <c r="W17" i="21"/>
  <c r="BA17" i="21" s="1"/>
  <c r="AY17" i="21"/>
  <c r="BF31" i="21"/>
  <c r="BN30" i="21" s="1"/>
  <c r="BN32" i="21"/>
  <c r="CO34" i="21"/>
  <c r="CU34" i="21"/>
  <c r="CU15" i="21"/>
  <c r="BG36" i="21"/>
  <c r="BB36" i="21"/>
  <c r="Y36" i="21"/>
  <c r="CU30" i="21"/>
  <c r="CO15" i="21"/>
  <c r="BF18" i="21"/>
  <c r="AT17" i="21"/>
  <c r="DD17" i="21"/>
  <c r="DZ18" i="21"/>
  <c r="DE18" i="21"/>
  <c r="BT32" i="20"/>
  <c r="BV32" i="20" s="1"/>
  <c r="BG31" i="20"/>
  <c r="BT30" i="20" s="1"/>
  <c r="CO34" i="20"/>
  <c r="CO36" i="20"/>
  <c r="CR18" i="20"/>
  <c r="CT18" i="20" s="1"/>
  <c r="AL36" i="20"/>
  <c r="CB36" i="20" s="1"/>
  <c r="AM36" i="20"/>
  <c r="CC36" i="20" s="1"/>
  <c r="DP17" i="20"/>
  <c r="DP15" i="20"/>
  <c r="Y36" i="20"/>
  <c r="BB36" i="20"/>
  <c r="AG18" i="20"/>
  <c r="BF18" i="20"/>
  <c r="BN18" i="20" s="1"/>
  <c r="DE32" i="20"/>
  <c r="DZ32" i="20"/>
  <c r="CU34" i="20"/>
  <c r="CU36" i="20"/>
  <c r="CW36" i="20" s="1"/>
  <c r="DD17" i="20"/>
  <c r="AT17" i="20"/>
  <c r="DE18" i="20"/>
  <c r="DZ18" i="20"/>
  <c r="DL18" i="20" s="1"/>
  <c r="CO17" i="20"/>
  <c r="CO15" i="20"/>
  <c r="BN32" i="20"/>
  <c r="BF31" i="20"/>
  <c r="BN30" i="20" s="1"/>
  <c r="DE36" i="20"/>
  <c r="DZ36" i="20"/>
  <c r="BT36" i="20"/>
  <c r="BG35" i="20"/>
  <c r="BT34" i="20" s="1"/>
  <c r="CU32" i="20"/>
  <c r="CW32" i="20" s="1"/>
  <c r="CU30" i="20"/>
  <c r="AK36" i="20"/>
  <c r="BZ36" i="20" s="1"/>
  <c r="BG16" i="20"/>
  <c r="BT15" i="20" s="1"/>
  <c r="BT17" i="20"/>
  <c r="BV17" i="20" s="1"/>
  <c r="CO30" i="20"/>
  <c r="CO32" i="20"/>
  <c r="DJ18" i="20"/>
  <c r="AY32" i="20"/>
  <c r="X32" i="20"/>
  <c r="W32" i="20"/>
  <c r="BA32" i="20" s="1"/>
  <c r="CU15" i="20"/>
  <c r="CU17" i="20"/>
  <c r="CW17" i="20" s="1"/>
  <c r="DV32" i="20"/>
  <c r="DX32" i="20" s="1"/>
  <c r="DV30" i="20"/>
  <c r="DP32" i="20"/>
  <c r="DP30" i="20"/>
  <c r="Y18" i="20"/>
  <c r="BB18" i="20"/>
  <c r="BH36" i="20"/>
  <c r="BF16" i="20"/>
  <c r="BN15" i="20" s="1"/>
  <c r="BN17" i="20"/>
  <c r="R17" i="20"/>
  <c r="AF17" i="20"/>
  <c r="V17" i="20"/>
  <c r="AQ17" i="20"/>
  <c r="DA17" i="20" s="1"/>
  <c r="DV36" i="20"/>
  <c r="DX36" i="20" s="1"/>
  <c r="DV34" i="20"/>
  <c r="CI18" i="20"/>
  <c r="CK18" i="20"/>
  <c r="CJ18" i="20"/>
  <c r="BH18" i="20"/>
  <c r="BG18" i="20"/>
  <c r="BT18" i="20" s="1"/>
  <c r="BV18" i="20" s="1"/>
  <c r="DK18" i="20" l="1"/>
  <c r="DS18" i="20"/>
  <c r="DU18" i="20" s="1"/>
  <c r="BF47" i="21"/>
  <c r="BN46" i="21" s="1"/>
  <c r="BN48" i="21"/>
  <c r="BP48" i="21" s="1"/>
  <c r="DI18" i="21"/>
  <c r="DH18" i="21"/>
  <c r="DH17" i="21"/>
  <c r="DH16" i="21" s="1"/>
  <c r="DI17" i="21"/>
  <c r="DI16" i="21" s="1"/>
  <c r="CU36" i="21"/>
  <c r="CW36" i="21" s="1"/>
  <c r="CU32" i="21"/>
  <c r="CW32" i="21" s="1"/>
  <c r="BN18" i="22"/>
  <c r="BM36" i="22"/>
  <c r="BT18" i="22"/>
  <c r="BV18" i="22" s="1"/>
  <c r="BL32" i="22"/>
  <c r="CN36" i="22"/>
  <c r="BL36" i="22"/>
  <c r="CM36" i="22"/>
  <c r="DP40" i="21"/>
  <c r="DY40" i="21" s="1"/>
  <c r="DO36" i="20"/>
  <c r="DN36" i="20"/>
  <c r="BN17" i="22"/>
  <c r="BF16" i="22"/>
  <c r="BN15" i="22" s="1"/>
  <c r="BM18" i="22"/>
  <c r="BK17" i="22"/>
  <c r="BG16" i="22"/>
  <c r="BT15" i="22" s="1"/>
  <c r="BT17" i="22"/>
  <c r="BV17" i="22" s="1"/>
  <c r="BK32" i="22"/>
  <c r="AS17" i="22"/>
  <c r="AT17" i="22"/>
  <c r="CC17" i="22" s="1"/>
  <c r="AR17" i="22"/>
  <c r="BZ17" i="22" s="1"/>
  <c r="BJ18" i="22"/>
  <c r="BK18" i="22" s="1"/>
  <c r="R64" i="22"/>
  <c r="P63" i="22"/>
  <c r="R62" i="22"/>
  <c r="P61" i="22"/>
  <c r="R60" i="22"/>
  <c r="P59" i="22"/>
  <c r="R58" i="22"/>
  <c r="P57" i="22"/>
  <c r="R56" i="22"/>
  <c r="P55" i="22"/>
  <c r="Q64" i="22"/>
  <c r="Q62" i="22"/>
  <c r="Q60" i="22"/>
  <c r="Q58" i="22"/>
  <c r="Q56" i="22"/>
  <c r="L48" i="22"/>
  <c r="L49" i="22" s="1"/>
  <c r="Q63" i="22"/>
  <c r="Q61" i="22"/>
  <c r="Q59" i="22"/>
  <c r="Q57" i="22"/>
  <c r="Q55" i="22"/>
  <c r="P60" i="22"/>
  <c r="R57" i="22"/>
  <c r="P64" i="22"/>
  <c r="R61" i="22"/>
  <c r="P56" i="22"/>
  <c r="P62" i="22"/>
  <c r="R59" i="22"/>
  <c r="R63" i="22"/>
  <c r="P58" i="22"/>
  <c r="R55" i="22"/>
  <c r="CB18" i="22"/>
  <c r="CY18" i="22" s="1"/>
  <c r="CO18" i="22"/>
  <c r="CU18" i="22"/>
  <c r="CW18" i="22" s="1"/>
  <c r="AL18" i="21"/>
  <c r="CB18" i="21" s="1"/>
  <c r="AM18" i="21"/>
  <c r="CC18" i="21" s="1"/>
  <c r="CY18" i="21" s="1"/>
  <c r="CK32" i="21"/>
  <c r="CL32" i="21" s="1"/>
  <c r="Y18" i="21"/>
  <c r="BG39" i="21"/>
  <c r="BT38" i="21" s="1"/>
  <c r="BT40" i="21"/>
  <c r="BV40" i="21" s="1"/>
  <c r="BG43" i="21"/>
  <c r="BT42" i="21" s="1"/>
  <c r="DL18" i="21"/>
  <c r="DP44" i="21"/>
  <c r="DS44" i="21" s="1"/>
  <c r="DP46" i="21"/>
  <c r="DP48" i="21"/>
  <c r="AL17" i="21"/>
  <c r="CB17" i="21" s="1"/>
  <c r="CY17" i="21" s="1"/>
  <c r="AK17" i="21"/>
  <c r="BZ17" i="21" s="1"/>
  <c r="BT48" i="21"/>
  <c r="BG47" i="21"/>
  <c r="BT46" i="21" s="1"/>
  <c r="DO18" i="20"/>
  <c r="DS36" i="20"/>
  <c r="DU36" i="20" s="1"/>
  <c r="Q85" i="21"/>
  <c r="Q87" i="21"/>
  <c r="Q89" i="21"/>
  <c r="Q91" i="21"/>
  <c r="Q93" i="21"/>
  <c r="R86" i="21"/>
  <c r="R90" i="21"/>
  <c r="R92" i="21"/>
  <c r="P84" i="21"/>
  <c r="R85" i="21"/>
  <c r="P86" i="21"/>
  <c r="R87" i="21"/>
  <c r="P88" i="21"/>
  <c r="R89" i="21"/>
  <c r="P90" i="21"/>
  <c r="R91" i="21"/>
  <c r="P92" i="21"/>
  <c r="R93" i="21"/>
  <c r="P85" i="21"/>
  <c r="P87" i="21"/>
  <c r="P89" i="21"/>
  <c r="P91" i="21"/>
  <c r="Q84" i="21"/>
  <c r="Q86" i="21"/>
  <c r="Q88" i="21"/>
  <c r="Q90" i="21"/>
  <c r="Q92" i="21"/>
  <c r="R84" i="21"/>
  <c r="R88" i="21"/>
  <c r="P93" i="21"/>
  <c r="BH48" i="21"/>
  <c r="CY48" i="21"/>
  <c r="CJ48" i="21" s="1"/>
  <c r="CD48" i="21"/>
  <c r="BB48" i="21"/>
  <c r="Y48" i="21"/>
  <c r="CI48" i="21"/>
  <c r="DL44" i="21"/>
  <c r="DK44" i="21"/>
  <c r="CI44" i="21"/>
  <c r="BW44" i="21"/>
  <c r="BP44" i="21"/>
  <c r="BQ44" i="21"/>
  <c r="BS44" i="21" s="1"/>
  <c r="BM44" i="21" s="1"/>
  <c r="CY44" i="21"/>
  <c r="CJ44" i="21" s="1"/>
  <c r="CD44" i="21"/>
  <c r="BX44" i="21"/>
  <c r="BC44" i="21"/>
  <c r="Y40" i="21"/>
  <c r="BB40" i="21"/>
  <c r="CY40" i="21"/>
  <c r="CK40" i="21" s="1"/>
  <c r="CD40" i="21"/>
  <c r="BH40" i="21"/>
  <c r="DR40" i="21"/>
  <c r="BL40" i="21"/>
  <c r="BP40" i="21"/>
  <c r="CI40" i="21"/>
  <c r="DK40" i="21"/>
  <c r="DL40" i="21"/>
  <c r="DM40" i="21" s="1"/>
  <c r="DV18" i="21"/>
  <c r="DX18" i="21" s="1"/>
  <c r="DP18" i="21"/>
  <c r="CD36" i="21"/>
  <c r="DK18" i="21"/>
  <c r="CJ32" i="20"/>
  <c r="CK32" i="20"/>
  <c r="BP36" i="20"/>
  <c r="BM36" i="20"/>
  <c r="BL36" i="20"/>
  <c r="DM18" i="20"/>
  <c r="BX36" i="21"/>
  <c r="BC36" i="21"/>
  <c r="BC18" i="21"/>
  <c r="BX18" i="21"/>
  <c r="BN18" i="21" s="1"/>
  <c r="BT36" i="21"/>
  <c r="BV36" i="21" s="1"/>
  <c r="BG35" i="21"/>
  <c r="BT34" i="21" s="1"/>
  <c r="Y32" i="21"/>
  <c r="BB32" i="21"/>
  <c r="DY36" i="21"/>
  <c r="DS36" i="21"/>
  <c r="DU36" i="21" s="1"/>
  <c r="DN36" i="21"/>
  <c r="DO36" i="21"/>
  <c r="DR36" i="21"/>
  <c r="DL32" i="21"/>
  <c r="DK32" i="21"/>
  <c r="DZ17" i="21"/>
  <c r="DE17" i="21"/>
  <c r="CQ32" i="21"/>
  <c r="CN32" i="21"/>
  <c r="CX32" i="21"/>
  <c r="CR32" i="21"/>
  <c r="CT32" i="21" s="1"/>
  <c r="CM32" i="21"/>
  <c r="BF16" i="21"/>
  <c r="BN15" i="21" s="1"/>
  <c r="DR32" i="21"/>
  <c r="BH32" i="21"/>
  <c r="R83" i="21"/>
  <c r="P82" i="21"/>
  <c r="R81" i="21"/>
  <c r="P80" i="21"/>
  <c r="R79" i="21"/>
  <c r="P78" i="21"/>
  <c r="R77" i="21"/>
  <c r="P76" i="21"/>
  <c r="R75" i="21"/>
  <c r="P74" i="21"/>
  <c r="R73" i="21"/>
  <c r="P72" i="21"/>
  <c r="R71" i="21"/>
  <c r="P70" i="21"/>
  <c r="L60" i="21"/>
  <c r="P83" i="21"/>
  <c r="R82" i="21"/>
  <c r="P81" i="21"/>
  <c r="R80" i="21"/>
  <c r="P79" i="21"/>
  <c r="R78" i="21"/>
  <c r="P77" i="21"/>
  <c r="R76" i="21"/>
  <c r="P75" i="21"/>
  <c r="R74" i="21"/>
  <c r="P73" i="21"/>
  <c r="R72" i="21"/>
  <c r="P71" i="21"/>
  <c r="R70" i="21"/>
  <c r="Q82" i="21"/>
  <c r="Q80" i="21"/>
  <c r="Q78" i="21"/>
  <c r="Q76" i="21"/>
  <c r="Q74" i="21"/>
  <c r="Q72" i="21"/>
  <c r="Q70" i="21"/>
  <c r="Q83" i="21"/>
  <c r="Q75" i="21"/>
  <c r="Q77" i="21"/>
  <c r="Q79" i="21"/>
  <c r="Q71" i="21"/>
  <c r="Q81" i="21"/>
  <c r="Q73" i="21"/>
  <c r="BN36" i="21"/>
  <c r="BF35" i="21"/>
  <c r="BN34" i="21" s="1"/>
  <c r="DV32" i="21"/>
  <c r="DX32" i="21" s="1"/>
  <c r="DV30" i="21"/>
  <c r="CX36" i="21"/>
  <c r="CR36" i="21"/>
  <c r="CT36" i="21" s="1"/>
  <c r="CM36" i="21"/>
  <c r="CN36" i="21"/>
  <c r="CQ36" i="21"/>
  <c r="BH17" i="21"/>
  <c r="CK36" i="21"/>
  <c r="CJ36" i="21"/>
  <c r="BP32" i="21"/>
  <c r="BM32" i="21"/>
  <c r="BW32" i="21"/>
  <c r="BQ32" i="21"/>
  <c r="BS32" i="21" s="1"/>
  <c r="BL32" i="21"/>
  <c r="Y17" i="21"/>
  <c r="BB17" i="21"/>
  <c r="BG16" i="21"/>
  <c r="BT15" i="21" s="1"/>
  <c r="DK36" i="20"/>
  <c r="DL36" i="20"/>
  <c r="DM36" i="20" s="1"/>
  <c r="BP32" i="20"/>
  <c r="BQ32" i="20"/>
  <c r="BS32" i="20" s="1"/>
  <c r="BM32" i="20"/>
  <c r="BW32" i="20"/>
  <c r="BL32" i="20"/>
  <c r="DR17" i="20"/>
  <c r="DS17" i="20"/>
  <c r="DU17" i="20" s="1"/>
  <c r="DO17" i="20"/>
  <c r="DK32" i="20"/>
  <c r="DL32" i="20"/>
  <c r="L47" i="20"/>
  <c r="L48" i="20" s="1"/>
  <c r="AI17" i="20"/>
  <c r="Y32" i="20"/>
  <c r="BB32" i="20"/>
  <c r="DY36" i="20"/>
  <c r="CR17" i="20"/>
  <c r="CT17" i="20" s="1"/>
  <c r="CQ17" i="20"/>
  <c r="CN17" i="20"/>
  <c r="DZ17" i="20"/>
  <c r="DE17" i="20"/>
  <c r="AY17" i="20"/>
  <c r="X17" i="20"/>
  <c r="W17" i="20"/>
  <c r="BA17" i="20" s="1"/>
  <c r="BC18" i="20"/>
  <c r="BX18" i="20"/>
  <c r="CX36" i="20"/>
  <c r="CR36" i="20"/>
  <c r="CT36" i="20" s="1"/>
  <c r="CM36" i="20"/>
  <c r="CQ36" i="20"/>
  <c r="CN36" i="20"/>
  <c r="BC36" i="20"/>
  <c r="BX36" i="20"/>
  <c r="CD36" i="20"/>
  <c r="CY36" i="20"/>
  <c r="CJ36" i="20" s="1"/>
  <c r="CL18" i="20"/>
  <c r="DL17" i="20"/>
  <c r="DK17" i="20"/>
  <c r="DJ17" i="20"/>
  <c r="BM17" i="20"/>
  <c r="BQ17" i="20"/>
  <c r="BS17" i="20" s="1"/>
  <c r="BP17" i="20"/>
  <c r="DR32" i="20"/>
  <c r="DS32" i="20"/>
  <c r="DU32" i="20" s="1"/>
  <c r="DY32" i="20"/>
  <c r="DN32" i="20"/>
  <c r="DO32" i="20"/>
  <c r="BH32" i="20"/>
  <c r="CQ32" i="20"/>
  <c r="CR32" i="20"/>
  <c r="CT32" i="20" s="1"/>
  <c r="CX32" i="20"/>
  <c r="CM32" i="20"/>
  <c r="CN32" i="20"/>
  <c r="CI36" i="20"/>
  <c r="BV36" i="20"/>
  <c r="BW36" i="20"/>
  <c r="BQ36" i="20"/>
  <c r="BS36" i="20" s="1"/>
  <c r="BM18" i="20"/>
  <c r="BQ18" i="20"/>
  <c r="BS18" i="20" s="1"/>
  <c r="BP18" i="20"/>
  <c r="BW40" i="21" l="1"/>
  <c r="DY44" i="21"/>
  <c r="CU44" i="21"/>
  <c r="CW44" i="21" s="1"/>
  <c r="BP18" i="21"/>
  <c r="CU18" i="21"/>
  <c r="CW18" i="21" s="1"/>
  <c r="CO18" i="21"/>
  <c r="CI17" i="21"/>
  <c r="CU17" i="21"/>
  <c r="CW17" i="21" s="1"/>
  <c r="CO17" i="21"/>
  <c r="CO44" i="21"/>
  <c r="CD18" i="21"/>
  <c r="BT18" i="21"/>
  <c r="BV18" i="21" s="1"/>
  <c r="CU48" i="21"/>
  <c r="CW48" i="21" s="1"/>
  <c r="CU40" i="21"/>
  <c r="CW40" i="21" s="1"/>
  <c r="CO40" i="21"/>
  <c r="CO48" i="21"/>
  <c r="BQ18" i="22"/>
  <c r="BS18" i="22" s="1"/>
  <c r="BP18" i="22"/>
  <c r="DO40" i="21"/>
  <c r="DR44" i="21"/>
  <c r="DU44" i="21"/>
  <c r="DO44" i="21"/>
  <c r="DN44" i="21"/>
  <c r="DN40" i="21"/>
  <c r="BM40" i="21"/>
  <c r="DS40" i="21"/>
  <c r="DU40" i="21" s="1"/>
  <c r="BQ40" i="21"/>
  <c r="BS40" i="21" s="1"/>
  <c r="DN32" i="21"/>
  <c r="BL48" i="21"/>
  <c r="BL44" i="21"/>
  <c r="BM17" i="22"/>
  <c r="BQ17" i="22"/>
  <c r="BS17" i="22" s="1"/>
  <c r="BP17" i="22"/>
  <c r="CK18" i="22"/>
  <c r="CJ18" i="22"/>
  <c r="CQ18" i="22"/>
  <c r="CR18" i="22"/>
  <c r="CT18" i="22" s="1"/>
  <c r="CN18" i="22"/>
  <c r="CD18" i="22"/>
  <c r="CB17" i="22"/>
  <c r="CY17" i="22" s="1"/>
  <c r="CI17" i="22"/>
  <c r="DM18" i="21"/>
  <c r="CK17" i="21"/>
  <c r="DS32" i="21"/>
  <c r="DU32" i="21" s="1"/>
  <c r="CJ17" i="21"/>
  <c r="DN48" i="21"/>
  <c r="DY48" i="21"/>
  <c r="DR48" i="21"/>
  <c r="DO48" i="21" s="1"/>
  <c r="DS48" i="21"/>
  <c r="DU48" i="21" s="1"/>
  <c r="CD17" i="21"/>
  <c r="BV48" i="21"/>
  <c r="BQ48" i="21"/>
  <c r="BS48" i="21" s="1"/>
  <c r="BW48" i="21"/>
  <c r="CK48" i="21"/>
  <c r="CL48" i="21" s="1"/>
  <c r="BX48" i="21"/>
  <c r="BC48" i="21"/>
  <c r="CK44" i="21"/>
  <c r="CL44" i="21" s="1"/>
  <c r="BI44" i="21"/>
  <c r="BJ44" i="21"/>
  <c r="DM44" i="21"/>
  <c r="BX40" i="21"/>
  <c r="BC40" i="21"/>
  <c r="CJ40" i="21"/>
  <c r="CL40" i="21" s="1"/>
  <c r="DV15" i="21"/>
  <c r="DV17" i="21"/>
  <c r="DX17" i="21" s="1"/>
  <c r="DS18" i="21"/>
  <c r="DU18" i="21" s="1"/>
  <c r="DR18" i="21"/>
  <c r="DP17" i="21"/>
  <c r="DP15" i="21"/>
  <c r="DY32" i="21"/>
  <c r="CL32" i="20"/>
  <c r="DM32" i="20"/>
  <c r="CK18" i="21"/>
  <c r="CJ18" i="21"/>
  <c r="BC32" i="21"/>
  <c r="BX32" i="21"/>
  <c r="BX17" i="21"/>
  <c r="BC17" i="21"/>
  <c r="DM32" i="21"/>
  <c r="BI36" i="21"/>
  <c r="BJ36" i="21"/>
  <c r="CL36" i="21"/>
  <c r="BW36" i="21"/>
  <c r="BQ36" i="21"/>
  <c r="BS36" i="21" s="1"/>
  <c r="BL36" i="21"/>
  <c r="BM36" i="21"/>
  <c r="BP36" i="21"/>
  <c r="L61" i="21"/>
  <c r="L62" i="21" s="1"/>
  <c r="L63" i="21"/>
  <c r="L64" i="21" s="1"/>
  <c r="DK17" i="21"/>
  <c r="DL17" i="21"/>
  <c r="BI18" i="21"/>
  <c r="BJ18" i="21"/>
  <c r="Y17" i="20"/>
  <c r="BB17" i="20"/>
  <c r="BC32" i="20"/>
  <c r="BX32" i="20"/>
  <c r="BI18" i="20"/>
  <c r="BJ18" i="20"/>
  <c r="BH17" i="20"/>
  <c r="DM17" i="20"/>
  <c r="BI36" i="20"/>
  <c r="BJ36" i="20"/>
  <c r="AL17" i="20"/>
  <c r="CB17" i="20" s="1"/>
  <c r="AM17" i="20"/>
  <c r="CC17" i="20" s="1"/>
  <c r="AK17" i="20"/>
  <c r="BZ17" i="20" s="1"/>
  <c r="CK36" i="20"/>
  <c r="CL36" i="20" s="1"/>
  <c r="R68" i="20"/>
  <c r="P67" i="20"/>
  <c r="R66" i="20"/>
  <c r="P65" i="20"/>
  <c r="R64" i="20"/>
  <c r="P63" i="20"/>
  <c r="R62" i="20"/>
  <c r="P61" i="20"/>
  <c r="R60" i="20"/>
  <c r="P59" i="20"/>
  <c r="L49" i="20"/>
  <c r="Q68" i="20"/>
  <c r="Q66" i="20"/>
  <c r="Q64" i="20"/>
  <c r="Q62" i="20"/>
  <c r="Q60" i="20"/>
  <c r="P68" i="20"/>
  <c r="R65" i="20"/>
  <c r="P64" i="20"/>
  <c r="R61" i="20"/>
  <c r="P60" i="20"/>
  <c r="R67" i="20"/>
  <c r="P66" i="20"/>
  <c r="R63" i="20"/>
  <c r="Q65" i="20"/>
  <c r="Q61" i="20"/>
  <c r="P62" i="20"/>
  <c r="R59" i="20"/>
  <c r="Q67" i="20"/>
  <c r="Q63" i="20"/>
  <c r="Q59" i="20"/>
  <c r="CR17" i="21" l="1"/>
  <c r="CT17" i="21" s="1"/>
  <c r="CQ17" i="21"/>
  <c r="CN17" i="21" s="1"/>
  <c r="BT17" i="21"/>
  <c r="BV17" i="21" s="1"/>
  <c r="BN17" i="21"/>
  <c r="CQ48" i="21"/>
  <c r="CM48" i="21"/>
  <c r="CR48" i="21"/>
  <c r="CT48" i="21" s="1"/>
  <c r="CN48" i="21"/>
  <c r="CX48" i="21"/>
  <c r="BQ18" i="21"/>
  <c r="BS18" i="21" s="1"/>
  <c r="CX40" i="21"/>
  <c r="CQ40" i="21"/>
  <c r="CR40" i="21"/>
  <c r="CT40" i="21" s="1"/>
  <c r="CN40" i="21"/>
  <c r="CM40" i="21"/>
  <c r="DO18" i="21"/>
  <c r="CQ44" i="21"/>
  <c r="CX44" i="21"/>
  <c r="CR44" i="21"/>
  <c r="CR18" i="21"/>
  <c r="CT18" i="21" s="1"/>
  <c r="CQ18" i="21"/>
  <c r="BM18" i="21"/>
  <c r="DO32" i="21"/>
  <c r="BM48" i="21"/>
  <c r="CL18" i="22"/>
  <c r="CK17" i="22"/>
  <c r="CJ17" i="22"/>
  <c r="CO17" i="22"/>
  <c r="CO15" i="22"/>
  <c r="CD17" i="22"/>
  <c r="CU17" i="22"/>
  <c r="CW17" i="22" s="1"/>
  <c r="CU15" i="22"/>
  <c r="CL17" i="21"/>
  <c r="BK18" i="21"/>
  <c r="BK36" i="21"/>
  <c r="BK44" i="21"/>
  <c r="BK36" i="20"/>
  <c r="BK18" i="20"/>
  <c r="BI48" i="21"/>
  <c r="BJ48" i="21"/>
  <c r="BI40" i="21"/>
  <c r="BJ40" i="21"/>
  <c r="DS17" i="21"/>
  <c r="DU17" i="21" s="1"/>
  <c r="DR17" i="21"/>
  <c r="CL18" i="21"/>
  <c r="BI17" i="21"/>
  <c r="BJ17" i="21"/>
  <c r="BJ32" i="21"/>
  <c r="BI32" i="21"/>
  <c r="DM17" i="21"/>
  <c r="BJ32" i="20"/>
  <c r="BI32" i="20"/>
  <c r="L52" i="20"/>
  <c r="L53" i="20" s="1"/>
  <c r="L50" i="20"/>
  <c r="L51" i="20" s="1"/>
  <c r="CI17" i="20"/>
  <c r="CY17" i="20"/>
  <c r="CK17" i="20" s="1"/>
  <c r="CD17" i="20"/>
  <c r="BX17" i="20"/>
  <c r="BC17" i="20"/>
  <c r="BQ17" i="21" l="1"/>
  <c r="BS17" i="21" s="1"/>
  <c r="BP17" i="21"/>
  <c r="CT44" i="21"/>
  <c r="CN44" i="21"/>
  <c r="CM44" i="21"/>
  <c r="BM17" i="21"/>
  <c r="CN18" i="21"/>
  <c r="DO17" i="21"/>
  <c r="CL17" i="22"/>
  <c r="CR17" i="22"/>
  <c r="CT17" i="22" s="1"/>
  <c r="CQ17" i="22"/>
  <c r="CN17" i="22"/>
  <c r="BK48" i="21"/>
  <c r="BK40" i="21"/>
  <c r="BK32" i="21"/>
  <c r="BK17" i="21"/>
  <c r="BI17" i="20"/>
  <c r="BJ17" i="20"/>
  <c r="CJ17" i="20"/>
  <c r="CL17" i="20" s="1"/>
  <c r="BK32" i="20"/>
  <c r="BK17" i="20" l="1"/>
  <c r="Q35" i="9" l="1"/>
  <c r="Q34" i="9"/>
  <c r="Q31" i="9"/>
  <c r="Q30" i="9"/>
  <c r="Q28" i="9"/>
  <c r="BK7" i="5" l="1"/>
  <c r="BI7" i="5"/>
  <c r="BG7" i="5"/>
  <c r="Q34" i="5" l="1"/>
  <c r="R34" i="5"/>
  <c r="Q35" i="5"/>
  <c r="R35" i="5"/>
  <c r="U36" i="5"/>
  <c r="AW36" i="5" s="1"/>
  <c r="V36" i="5"/>
  <c r="W36" i="5" s="1"/>
  <c r="BA36" i="5" s="1"/>
  <c r="Z36" i="5"/>
  <c r="AF36" i="5" s="1"/>
  <c r="AC36" i="5"/>
  <c r="AD36" i="5"/>
  <c r="AE36" i="5"/>
  <c r="AI36" i="5"/>
  <c r="AR36" i="5"/>
  <c r="DC36" i="5" s="1"/>
  <c r="AS36" i="5"/>
  <c r="DD36" i="5" s="1"/>
  <c r="DE36" i="5" s="1"/>
  <c r="AV36" i="5"/>
  <c r="AY36" i="5"/>
  <c r="BH36" i="5" s="1"/>
  <c r="AZ36" i="5"/>
  <c r="BD36" i="5"/>
  <c r="BE36" i="5"/>
  <c r="BH34" i="5" s="1"/>
  <c r="CA36" i="5"/>
  <c r="CE36" i="5"/>
  <c r="CF36" i="5"/>
  <c r="CI34" i="5" s="1"/>
  <c r="DA36" i="5"/>
  <c r="DJ36" i="5" s="1"/>
  <c r="DB36" i="5"/>
  <c r="DF36" i="5"/>
  <c r="DG36" i="5"/>
  <c r="DJ34" i="5" s="1"/>
  <c r="AM36" i="5" l="1"/>
  <c r="CC36" i="5" s="1"/>
  <c r="DZ36" i="5"/>
  <c r="DL36" i="5" s="1"/>
  <c r="AT36" i="5"/>
  <c r="AK36" i="5"/>
  <c r="BZ36" i="5" s="1"/>
  <c r="CI36" i="5" s="1"/>
  <c r="AL36" i="5"/>
  <c r="CB36" i="5" s="1"/>
  <c r="CY36" i="5" s="1"/>
  <c r="CD36" i="5"/>
  <c r="CZ36" i="5"/>
  <c r="BY36" i="5"/>
  <c r="X36" i="5"/>
  <c r="CF36" i="9"/>
  <c r="CI34" i="9" s="1"/>
  <c r="CE36" i="9"/>
  <c r="CA36" i="9"/>
  <c r="BE36" i="9"/>
  <c r="BH34" i="9" s="1"/>
  <c r="BD36" i="9"/>
  <c r="AZ36" i="9"/>
  <c r="BD32" i="9"/>
  <c r="AZ32" i="9"/>
  <c r="BE32" i="9"/>
  <c r="BH30" i="9" s="1"/>
  <c r="CF18" i="9"/>
  <c r="CE32" i="9"/>
  <c r="CA32" i="9"/>
  <c r="CF32" i="9"/>
  <c r="CI30" i="9" s="1"/>
  <c r="CF17" i="9"/>
  <c r="CI15" i="9" s="1"/>
  <c r="BE17" i="9"/>
  <c r="BH15" i="9" s="1"/>
  <c r="BE18" i="9"/>
  <c r="H18" i="9"/>
  <c r="BD18" i="9" s="1"/>
  <c r="G18" i="9"/>
  <c r="H17" i="9"/>
  <c r="BD17" i="9" s="1"/>
  <c r="G17" i="9"/>
  <c r="BK7" i="9"/>
  <c r="BI7" i="9"/>
  <c r="BG7" i="9"/>
  <c r="Q5" i="9"/>
  <c r="P5" i="9"/>
  <c r="DN18" i="5"/>
  <c r="CM18" i="5"/>
  <c r="BL18" i="5"/>
  <c r="B18" i="5"/>
  <c r="C17" i="5"/>
  <c r="B17" i="5"/>
  <c r="DG18" i="5"/>
  <c r="CF18" i="5"/>
  <c r="DG32" i="5"/>
  <c r="DJ30" i="5" s="1"/>
  <c r="DK36" i="5" l="1"/>
  <c r="DM36" i="5" s="1"/>
  <c r="CK36" i="5"/>
  <c r="CL36" i="5" s="1"/>
  <c r="CJ36" i="5"/>
  <c r="BB36" i="5"/>
  <c r="Y36" i="5"/>
  <c r="CE18" i="9"/>
  <c r="CE17" i="9"/>
  <c r="Q5" i="5"/>
  <c r="P5" i="5"/>
  <c r="BE18" i="5"/>
  <c r="DG17" i="5"/>
  <c r="DJ15" i="5" s="1"/>
  <c r="CF17" i="5"/>
  <c r="CI15" i="5" s="1"/>
  <c r="BE17" i="5"/>
  <c r="BH15" i="5" s="1"/>
  <c r="AQ32" i="5"/>
  <c r="DA32" i="5" s="1"/>
  <c r="CF32" i="5"/>
  <c r="CE32" i="5"/>
  <c r="CA32" i="5"/>
  <c r="DF32" i="5"/>
  <c r="BD32" i="5"/>
  <c r="AZ32" i="5"/>
  <c r="BE32" i="5"/>
  <c r="BH30" i="5" s="1"/>
  <c r="DB32" i="5"/>
  <c r="AS32" i="5"/>
  <c r="DD32" i="5" s="1"/>
  <c r="AR32" i="5"/>
  <c r="DC32" i="5" s="1"/>
  <c r="H18" i="5"/>
  <c r="H17" i="5"/>
  <c r="DF17" i="5" s="1"/>
  <c r="G18" i="5"/>
  <c r="G17" i="5"/>
  <c r="BC36" i="5" l="1"/>
  <c r="BX36" i="5"/>
  <c r="BD18" i="5"/>
  <c r="DF18" i="5"/>
  <c r="CE18" i="5"/>
  <c r="BD17" i="5"/>
  <c r="CE17" i="5"/>
  <c r="DZ32" i="5"/>
  <c r="DL32" i="5" s="1"/>
  <c r="DJ32" i="5"/>
  <c r="CJ30" i="5"/>
  <c r="AT32" i="5"/>
  <c r="U18" i="5"/>
  <c r="U17" i="5"/>
  <c r="Z32" i="5"/>
  <c r="AV32" i="5"/>
  <c r="AQ26" i="5"/>
  <c r="AU36" i="5" s="1"/>
  <c r="DI36" i="5" s="1"/>
  <c r="DI35" i="5" s="1"/>
  <c r="AR26" i="5"/>
  <c r="AR10" i="5" s="1"/>
  <c r="AS26" i="5"/>
  <c r="AS10" i="5" s="1"/>
  <c r="AT26" i="5"/>
  <c r="AT10" i="5" s="1"/>
  <c r="AU26" i="5"/>
  <c r="AU10" i="5" s="1"/>
  <c r="AU11" i="5"/>
  <c r="AT11" i="5"/>
  <c r="AS11" i="5"/>
  <c r="AR11" i="5"/>
  <c r="AQ11" i="5"/>
  <c r="AV18" i="5" s="1"/>
  <c r="AO26" i="5"/>
  <c r="AO10" i="5" s="1"/>
  <c r="AN26" i="5"/>
  <c r="AN10" i="5" s="1"/>
  <c r="AM26" i="5"/>
  <c r="AM10" i="5" s="1"/>
  <c r="AL26" i="5"/>
  <c r="AL10" i="5" s="1"/>
  <c r="AK26" i="5"/>
  <c r="AO11" i="5"/>
  <c r="AN11" i="5"/>
  <c r="AM11" i="5"/>
  <c r="AL11" i="5"/>
  <c r="AK11" i="5"/>
  <c r="Z27" i="5"/>
  <c r="Z11" i="5" s="1"/>
  <c r="Y27" i="5"/>
  <c r="Y11" i="5" s="1"/>
  <c r="X27" i="5"/>
  <c r="X11" i="5" s="1"/>
  <c r="W27" i="5"/>
  <c r="W11" i="5" s="1"/>
  <c r="V27" i="5"/>
  <c r="Z10" i="5"/>
  <c r="Y10" i="5"/>
  <c r="X10" i="5"/>
  <c r="W10" i="5"/>
  <c r="V10" i="5"/>
  <c r="AG26" i="9"/>
  <c r="AF26" i="9"/>
  <c r="AE26" i="9"/>
  <c r="AD26" i="9"/>
  <c r="AC26" i="9"/>
  <c r="AK10" i="5" l="1"/>
  <c r="AN32" i="5"/>
  <c r="AN36" i="5"/>
  <c r="DV34" i="5"/>
  <c r="DV36" i="5"/>
  <c r="DX36" i="5" s="1"/>
  <c r="BJ36" i="5"/>
  <c r="BI36" i="5"/>
  <c r="DH36" i="5"/>
  <c r="DH35" i="5" s="1"/>
  <c r="AA32" i="5"/>
  <c r="AA36" i="5"/>
  <c r="AW18" i="5"/>
  <c r="BY18" i="5"/>
  <c r="CZ18" i="5"/>
  <c r="BF32" i="5"/>
  <c r="BF31" i="5" s="1"/>
  <c r="BN30" i="5" s="1"/>
  <c r="BG32" i="5"/>
  <c r="BG31" i="5" s="1"/>
  <c r="BT30" i="5" s="1"/>
  <c r="AW17" i="5"/>
  <c r="CZ17" i="5"/>
  <c r="BY17" i="5"/>
  <c r="DK32" i="5"/>
  <c r="V11" i="5"/>
  <c r="AU32" i="5"/>
  <c r="AQ10" i="5"/>
  <c r="AV17" i="5"/>
  <c r="C17" i="9"/>
  <c r="B18" i="9"/>
  <c r="B17" i="9"/>
  <c r="Z36" i="9"/>
  <c r="Z32" i="9"/>
  <c r="AR11" i="9"/>
  <c r="AV18" i="9" s="1"/>
  <c r="AS11" i="9"/>
  <c r="AT11" i="9"/>
  <c r="AU11" i="9"/>
  <c r="AV11" i="9"/>
  <c r="AS26" i="9"/>
  <c r="AS10" i="9" s="1"/>
  <c r="AT26" i="9"/>
  <c r="AT10" i="9" s="1"/>
  <c r="AU26" i="9"/>
  <c r="AU10" i="9" s="1"/>
  <c r="AV26" i="9"/>
  <c r="AV10" i="9" s="1"/>
  <c r="AR26" i="9"/>
  <c r="AU36" i="9" s="1"/>
  <c r="W10" i="9"/>
  <c r="AD10" i="9" s="1"/>
  <c r="X10" i="9"/>
  <c r="AE10" i="9" s="1"/>
  <c r="Y10" i="9"/>
  <c r="AF10" i="9" s="1"/>
  <c r="Z10" i="9"/>
  <c r="AG10" i="9" s="1"/>
  <c r="V10" i="9"/>
  <c r="AC10" i="9" s="1"/>
  <c r="W27" i="9"/>
  <c r="AD27" i="9" s="1"/>
  <c r="X27" i="9"/>
  <c r="Y27" i="9"/>
  <c r="Z27" i="9"/>
  <c r="V27" i="9"/>
  <c r="AC27" i="9" s="1"/>
  <c r="CG36" i="9" l="1"/>
  <c r="CH36" i="9"/>
  <c r="CH36" i="5"/>
  <c r="CG36" i="5"/>
  <c r="BK36" i="5"/>
  <c r="AG36" i="5"/>
  <c r="BF36" i="5"/>
  <c r="BG36" i="5"/>
  <c r="DP34" i="5"/>
  <c r="DP36" i="5"/>
  <c r="V11" i="9"/>
  <c r="AC11" i="9" s="1"/>
  <c r="AG36" i="9"/>
  <c r="AM36" i="9"/>
  <c r="AV17" i="9"/>
  <c r="AG32" i="9"/>
  <c r="AM32" i="9"/>
  <c r="AR10" i="9"/>
  <c r="Z18" i="9"/>
  <c r="CG35" i="9"/>
  <c r="AA36" i="9"/>
  <c r="BG36" i="9" s="1"/>
  <c r="X11" i="9"/>
  <c r="AE11" i="9" s="1"/>
  <c r="AE27" i="9"/>
  <c r="Z11" i="9"/>
  <c r="AG11" i="9" s="1"/>
  <c r="AG27" i="9"/>
  <c r="Y11" i="9"/>
  <c r="AF11" i="9" s="1"/>
  <c r="AF27" i="9"/>
  <c r="W11" i="9"/>
  <c r="AD11" i="9" s="1"/>
  <c r="Z17" i="9"/>
  <c r="AU32" i="9"/>
  <c r="AA17" i="9"/>
  <c r="AA32" i="9"/>
  <c r="BG32" i="9" s="1"/>
  <c r="DH32" i="5"/>
  <c r="DI32" i="5"/>
  <c r="DI31" i="5" s="1"/>
  <c r="AU17" i="5"/>
  <c r="AU18" i="5"/>
  <c r="U18" i="9"/>
  <c r="U17" i="9"/>
  <c r="W36" i="9"/>
  <c r="V36" i="9"/>
  <c r="AL36" i="9"/>
  <c r="AK36" i="9"/>
  <c r="AJ36" i="9"/>
  <c r="X36" i="9"/>
  <c r="AL32" i="9"/>
  <c r="AK32" i="9"/>
  <c r="AJ32" i="9"/>
  <c r="W32" i="9"/>
  <c r="X32" i="9"/>
  <c r="V32" i="9"/>
  <c r="L44" i="9"/>
  <c r="L43" i="9"/>
  <c r="U36" i="9"/>
  <c r="U32" i="9"/>
  <c r="F18" i="9"/>
  <c r="AL18" i="9" s="1"/>
  <c r="E18" i="9"/>
  <c r="AK18" i="9" s="1"/>
  <c r="D18" i="9"/>
  <c r="AJ18" i="9" s="1"/>
  <c r="F17" i="9"/>
  <c r="AL17" i="9" s="1"/>
  <c r="E17" i="9"/>
  <c r="W17" i="9" s="1"/>
  <c r="D17" i="9"/>
  <c r="L43" i="5"/>
  <c r="L44" i="5"/>
  <c r="CZ18" i="9" l="1"/>
  <c r="BY18" i="9"/>
  <c r="AW36" i="9"/>
  <c r="CZ36" i="9"/>
  <c r="BY36" i="9"/>
  <c r="BY32" i="9"/>
  <c r="AW32" i="9"/>
  <c r="CZ32" i="9"/>
  <c r="BY17" i="9"/>
  <c r="CZ17" i="9"/>
  <c r="CG32" i="9"/>
  <c r="CG31" i="9" s="1"/>
  <c r="CH32" i="9"/>
  <c r="CH31" i="9" s="1"/>
  <c r="CH35" i="5"/>
  <c r="CU34" i="5" s="1"/>
  <c r="CU36" i="5"/>
  <c r="CW36" i="5" s="1"/>
  <c r="CG35" i="5"/>
  <c r="CO34" i="5" s="1"/>
  <c r="CO36" i="5"/>
  <c r="DH31" i="5"/>
  <c r="DP30" i="5" s="1"/>
  <c r="N68" i="9"/>
  <c r="L55" i="9"/>
  <c r="BF36" i="9"/>
  <c r="BF35" i="9" s="1"/>
  <c r="BN34" i="9" s="1"/>
  <c r="BG35" i="5"/>
  <c r="BT34" i="5" s="1"/>
  <c r="BT36" i="5"/>
  <c r="BV36" i="5" s="1"/>
  <c r="BF35" i="5"/>
  <c r="BN34" i="5" s="1"/>
  <c r="BN36" i="5"/>
  <c r="DS36" i="5"/>
  <c r="DU36" i="5" s="1"/>
  <c r="DY36" i="5"/>
  <c r="DR36" i="5"/>
  <c r="DI18" i="5"/>
  <c r="DH18" i="5"/>
  <c r="Y36" i="9"/>
  <c r="Y32" i="9"/>
  <c r="CO34" i="9"/>
  <c r="BG35" i="9"/>
  <c r="BT34" i="9" s="1"/>
  <c r="AE36" i="9"/>
  <c r="BB36" i="9"/>
  <c r="AA18" i="9"/>
  <c r="BG18" i="9" s="1"/>
  <c r="AD36" i="9"/>
  <c r="BA36" i="9"/>
  <c r="AC36" i="9"/>
  <c r="AY36" i="9"/>
  <c r="BF32" i="9"/>
  <c r="BF31" i="9" s="1"/>
  <c r="BN30" i="9" s="1"/>
  <c r="BG31" i="9"/>
  <c r="BT30" i="9" s="1"/>
  <c r="AD32" i="9"/>
  <c r="BA32" i="9"/>
  <c r="AC32" i="9"/>
  <c r="AY32" i="9"/>
  <c r="AW18" i="9"/>
  <c r="AE32" i="9"/>
  <c r="BB32" i="9"/>
  <c r="N66" i="9"/>
  <c r="AW17" i="9"/>
  <c r="AH32" i="9"/>
  <c r="AN32" i="9"/>
  <c r="AG17" i="9"/>
  <c r="BG17" i="9"/>
  <c r="BG16" i="9" s="1"/>
  <c r="BT15" i="9" s="1"/>
  <c r="BF17" i="9"/>
  <c r="BF16" i="9" s="1"/>
  <c r="BN15" i="9" s="1"/>
  <c r="AM17" i="9"/>
  <c r="AH36" i="9"/>
  <c r="AN36" i="9"/>
  <c r="AD17" i="9"/>
  <c r="BA17" i="9"/>
  <c r="AH17" i="9"/>
  <c r="AN17" i="9"/>
  <c r="AG18" i="9"/>
  <c r="AM18" i="9"/>
  <c r="V18" i="9"/>
  <c r="AY18" i="9" s="1"/>
  <c r="M61" i="9"/>
  <c r="AK17" i="9"/>
  <c r="AU17" i="9"/>
  <c r="AU18" i="9"/>
  <c r="DP32" i="5"/>
  <c r="DH17" i="5"/>
  <c r="DI17" i="5"/>
  <c r="DI16" i="5" s="1"/>
  <c r="DV30" i="5"/>
  <c r="DV32" i="5"/>
  <c r="L56" i="9"/>
  <c r="X17" i="9"/>
  <c r="Y17" i="9" s="1"/>
  <c r="N57" i="9"/>
  <c r="L63" i="9"/>
  <c r="M68" i="9"/>
  <c r="N58" i="9"/>
  <c r="L64" i="9"/>
  <c r="X18" i="9"/>
  <c r="M60" i="9"/>
  <c r="N65" i="9"/>
  <c r="V17" i="9"/>
  <c r="W18" i="9"/>
  <c r="M56" i="9"/>
  <c r="L59" i="9"/>
  <c r="N61" i="9"/>
  <c r="M64" i="9"/>
  <c r="L67" i="9"/>
  <c r="AR36" i="9"/>
  <c r="BZ36" i="9" s="1"/>
  <c r="M57" i="9"/>
  <c r="L60" i="9"/>
  <c r="N62" i="9"/>
  <c r="M65" i="9"/>
  <c r="L68" i="9"/>
  <c r="AS32" i="9"/>
  <c r="CB32" i="9" s="1"/>
  <c r="AR32" i="9"/>
  <c r="BZ32" i="9" s="1"/>
  <c r="AT32" i="9"/>
  <c r="CC32" i="9" s="1"/>
  <c r="AS36" i="9"/>
  <c r="CB36" i="9" s="1"/>
  <c r="AT36" i="9"/>
  <c r="CC36" i="9" s="1"/>
  <c r="AJ17" i="9"/>
  <c r="N55" i="9"/>
  <c r="L57" i="9"/>
  <c r="M58" i="9"/>
  <c r="N59" i="9"/>
  <c r="L61" i="9"/>
  <c r="M62" i="9"/>
  <c r="N63" i="9"/>
  <c r="L65" i="9"/>
  <c r="M66" i="9"/>
  <c r="N67" i="9"/>
  <c r="M55" i="9"/>
  <c r="N56" i="9"/>
  <c r="L58" i="9"/>
  <c r="M59" i="9"/>
  <c r="N60" i="9"/>
  <c r="L62" i="9"/>
  <c r="M63" i="9"/>
  <c r="N64" i="9"/>
  <c r="L66" i="9"/>
  <c r="M67" i="9"/>
  <c r="Z18" i="5"/>
  <c r="AO18" i="5"/>
  <c r="AO17" i="5"/>
  <c r="Z17" i="5"/>
  <c r="F18" i="5"/>
  <c r="N18" i="5" s="1"/>
  <c r="AS18" i="5" s="1"/>
  <c r="DD18" i="5" s="1"/>
  <c r="E18" i="5"/>
  <c r="M18" i="5" s="1"/>
  <c r="AR18" i="5" s="1"/>
  <c r="DC18" i="5" s="1"/>
  <c r="F17" i="5"/>
  <c r="N17" i="5" s="1"/>
  <c r="AS17" i="5" s="1"/>
  <c r="DD17" i="5" s="1"/>
  <c r="E17" i="5"/>
  <c r="M17" i="5" s="1"/>
  <c r="AR17" i="5" s="1"/>
  <c r="DC17" i="5" s="1"/>
  <c r="D18" i="5"/>
  <c r="L18" i="5" s="1"/>
  <c r="D17" i="5"/>
  <c r="L17" i="5" s="1"/>
  <c r="Q28" i="5"/>
  <c r="U32" i="5"/>
  <c r="Q31" i="5"/>
  <c r="Q30" i="5"/>
  <c r="AC32" i="5"/>
  <c r="AE32" i="5"/>
  <c r="AD32" i="5"/>
  <c r="R28" i="5"/>
  <c r="L45" i="5" s="1"/>
  <c r="R30" i="5"/>
  <c r="V32" i="5" s="1"/>
  <c r="R31" i="5"/>
  <c r="CQ36" i="5" l="1"/>
  <c r="CX36" i="5"/>
  <c r="CR36" i="5"/>
  <c r="CT36" i="5" s="1"/>
  <c r="CN36" i="5"/>
  <c r="CM36" i="5"/>
  <c r="CH18" i="9"/>
  <c r="CG18" i="9"/>
  <c r="CH17" i="9"/>
  <c r="CH16" i="9" s="1"/>
  <c r="CG17" i="9"/>
  <c r="CG16" i="9" s="1"/>
  <c r="DN36" i="5"/>
  <c r="DO36" i="5"/>
  <c r="DH16" i="5"/>
  <c r="DP15" i="5" s="1"/>
  <c r="CH35" i="9"/>
  <c r="CU34" i="9" s="1"/>
  <c r="AN18" i="9"/>
  <c r="AH18" i="9"/>
  <c r="AY17" i="9"/>
  <c r="BH17" i="9" s="1"/>
  <c r="L17" i="9"/>
  <c r="AF36" i="9"/>
  <c r="BQ36" i="5"/>
  <c r="BS36" i="5" s="1"/>
  <c r="BW36" i="5"/>
  <c r="BP36" i="5"/>
  <c r="CG18" i="5"/>
  <c r="CH18" i="5"/>
  <c r="DE18" i="5"/>
  <c r="DZ18" i="5"/>
  <c r="Y18" i="9"/>
  <c r="AF32" i="9"/>
  <c r="BF18" i="9"/>
  <c r="CY36" i="9"/>
  <c r="CJ36" i="9" s="1"/>
  <c r="CD36" i="9"/>
  <c r="BH36" i="9"/>
  <c r="CI36" i="9"/>
  <c r="BX36" i="9"/>
  <c r="BT36" i="9" s="1"/>
  <c r="BV36" i="9" s="1"/>
  <c r="BC36" i="9"/>
  <c r="CO36" i="9"/>
  <c r="CD32" i="9"/>
  <c r="CY32" i="9"/>
  <c r="CK32" i="9" s="1"/>
  <c r="CI32" i="9"/>
  <c r="CU30" i="9"/>
  <c r="CO30" i="9"/>
  <c r="BC32" i="9"/>
  <c r="BX32" i="9"/>
  <c r="BN32" i="9" s="1"/>
  <c r="BH32" i="9"/>
  <c r="AE17" i="9"/>
  <c r="AF17" i="9" s="1"/>
  <c r="BB17" i="9"/>
  <c r="AD18" i="9"/>
  <c r="BA18" i="9"/>
  <c r="BH18" i="9"/>
  <c r="AE18" i="9"/>
  <c r="BB18" i="9"/>
  <c r="AC17" i="9"/>
  <c r="L18" i="9"/>
  <c r="AP18" i="9" s="1"/>
  <c r="AC18" i="9"/>
  <c r="AA18" i="5"/>
  <c r="BG18" i="5" s="1"/>
  <c r="CG32" i="5"/>
  <c r="CH32" i="5"/>
  <c r="CH17" i="5"/>
  <c r="CG17" i="5"/>
  <c r="AA17" i="5"/>
  <c r="AG17" i="5" s="1"/>
  <c r="DE17" i="5"/>
  <c r="DZ17" i="5"/>
  <c r="CZ32" i="5"/>
  <c r="BY32" i="5"/>
  <c r="AW32" i="5"/>
  <c r="AI32" i="5"/>
  <c r="R18" i="5"/>
  <c r="AI18" i="5" s="1"/>
  <c r="AQ18" i="5"/>
  <c r="DA18" i="5" s="1"/>
  <c r="DP18" i="5" s="1"/>
  <c r="AQ17" i="5"/>
  <c r="DA17" i="5" s="1"/>
  <c r="V17" i="5"/>
  <c r="AT18" i="5"/>
  <c r="AT17" i="5"/>
  <c r="L46" i="5"/>
  <c r="AC18" i="5"/>
  <c r="AE18" i="5"/>
  <c r="V18" i="5"/>
  <c r="AF17" i="5"/>
  <c r="AD18" i="5"/>
  <c r="AF32" i="5"/>
  <c r="AF18" i="5"/>
  <c r="L63" i="5"/>
  <c r="L70" i="5"/>
  <c r="L66" i="5"/>
  <c r="N59" i="5"/>
  <c r="M71" i="5"/>
  <c r="M69" i="5"/>
  <c r="M67" i="5"/>
  <c r="M65" i="5"/>
  <c r="M63" i="5"/>
  <c r="M61" i="5"/>
  <c r="L59" i="5"/>
  <c r="L62" i="5"/>
  <c r="L69" i="5"/>
  <c r="L65" i="5"/>
  <c r="N72" i="5"/>
  <c r="N70" i="5"/>
  <c r="N68" i="5"/>
  <c r="N66" i="5"/>
  <c r="N64" i="5"/>
  <c r="N62" i="5"/>
  <c r="N60" i="5"/>
  <c r="L60" i="5"/>
  <c r="L71" i="5"/>
  <c r="L67" i="5"/>
  <c r="M59" i="5"/>
  <c r="N71" i="5"/>
  <c r="N69" i="5"/>
  <c r="N67" i="5"/>
  <c r="N65" i="5"/>
  <c r="N63" i="5"/>
  <c r="N61" i="5"/>
  <c r="L61" i="5"/>
  <c r="L72" i="5"/>
  <c r="L68" i="5"/>
  <c r="L64" i="5"/>
  <c r="M72" i="5"/>
  <c r="M70" i="5"/>
  <c r="M68" i="5"/>
  <c r="M66" i="5"/>
  <c r="M64" i="5"/>
  <c r="M62" i="5"/>
  <c r="M60" i="5"/>
  <c r="AD17" i="5"/>
  <c r="AC17" i="5"/>
  <c r="AE17" i="5"/>
  <c r="AG32" i="5"/>
  <c r="AP17" i="9" l="1"/>
  <c r="L46" i="9"/>
  <c r="L47" i="9" s="1"/>
  <c r="CG16" i="5"/>
  <c r="CO15" i="5" s="1"/>
  <c r="CH16" i="5"/>
  <c r="CU15" i="5" s="1"/>
  <c r="CG31" i="5"/>
  <c r="CO30" i="5" s="1"/>
  <c r="CH31" i="5"/>
  <c r="CU30" i="5" s="1"/>
  <c r="BL36" i="5"/>
  <c r="BM36" i="5"/>
  <c r="AR17" i="9"/>
  <c r="BX18" i="9"/>
  <c r="BJ18" i="9" s="1"/>
  <c r="AF18" i="9"/>
  <c r="CK36" i="9"/>
  <c r="CL36" i="9" s="1"/>
  <c r="DV18" i="5"/>
  <c r="DX18" i="5" s="1"/>
  <c r="DR18" i="5"/>
  <c r="DV15" i="5"/>
  <c r="DJ18" i="5"/>
  <c r="DL18" i="5"/>
  <c r="DM18" i="5" s="1"/>
  <c r="DK18" i="5"/>
  <c r="AI17" i="5"/>
  <c r="AK17" i="5" s="1"/>
  <c r="BZ17" i="5" s="1"/>
  <c r="L47" i="5"/>
  <c r="R63" i="5" s="1"/>
  <c r="AY17" i="5"/>
  <c r="BH17" i="5" s="1"/>
  <c r="W17" i="5"/>
  <c r="BA17" i="5" s="1"/>
  <c r="X17" i="5"/>
  <c r="BB17" i="5" s="1"/>
  <c r="AY18" i="5"/>
  <c r="BH18" i="5" s="1"/>
  <c r="W18" i="5"/>
  <c r="BA18" i="5" s="1"/>
  <c r="X18" i="5"/>
  <c r="BB18" i="5" s="1"/>
  <c r="AY32" i="5"/>
  <c r="BH32" i="5" s="1"/>
  <c r="X32" i="5"/>
  <c r="W32" i="5"/>
  <c r="BA32" i="5" s="1"/>
  <c r="BJ32" i="9"/>
  <c r="CU36" i="9"/>
  <c r="CW36" i="9" s="1"/>
  <c r="BI36" i="9"/>
  <c r="CQ36" i="9"/>
  <c r="BJ36" i="9"/>
  <c r="BN36" i="9"/>
  <c r="BT32" i="9"/>
  <c r="BV32" i="9" s="1"/>
  <c r="BI32" i="9"/>
  <c r="CJ32" i="9"/>
  <c r="CL32" i="9" s="1"/>
  <c r="CO32" i="9"/>
  <c r="CQ32" i="9" s="1"/>
  <c r="BP32" i="9"/>
  <c r="CU32" i="9"/>
  <c r="CW32" i="9" s="1"/>
  <c r="BZ17" i="9"/>
  <c r="AT17" i="9"/>
  <c r="CC17" i="9" s="1"/>
  <c r="BN18" i="9"/>
  <c r="BC18" i="9"/>
  <c r="BT18" i="9"/>
  <c r="BV18" i="9" s="1"/>
  <c r="BX17" i="9"/>
  <c r="BC17" i="9"/>
  <c r="AS18" i="9"/>
  <c r="AT18" i="9"/>
  <c r="CC18" i="9" s="1"/>
  <c r="AR18" i="9"/>
  <c r="BZ18" i="9" s="1"/>
  <c r="AS17" i="9"/>
  <c r="CB17" i="9" s="1"/>
  <c r="AG18" i="5"/>
  <c r="BF18" i="5"/>
  <c r="BF17" i="5"/>
  <c r="AM18" i="5"/>
  <c r="CC18" i="5" s="1"/>
  <c r="BG17" i="5"/>
  <c r="BG16" i="5" s="1"/>
  <c r="BT15" i="5" s="1"/>
  <c r="DV17" i="5"/>
  <c r="DX17" i="5" s="1"/>
  <c r="DJ17" i="5"/>
  <c r="DL17" i="5"/>
  <c r="DK17" i="5"/>
  <c r="DP17" i="5"/>
  <c r="Q62" i="5"/>
  <c r="R59" i="5"/>
  <c r="R68" i="5"/>
  <c r="Q63" i="5"/>
  <c r="AK18" i="5"/>
  <c r="BZ18" i="5" s="1"/>
  <c r="AL18" i="5"/>
  <c r="CB18" i="5" s="1"/>
  <c r="AM32" i="5"/>
  <c r="CC32" i="5" s="1"/>
  <c r="AL32" i="5"/>
  <c r="CB32" i="5" s="1"/>
  <c r="AK32" i="5"/>
  <c r="BZ32" i="5" s="1"/>
  <c r="R59" i="9" l="1"/>
  <c r="P64" i="9"/>
  <c r="P55" i="9"/>
  <c r="P57" i="9"/>
  <c r="Q60" i="9"/>
  <c r="R67" i="9"/>
  <c r="R55" i="9"/>
  <c r="Q61" i="9"/>
  <c r="R65" i="9"/>
  <c r="R60" i="9"/>
  <c r="Q55" i="9"/>
  <c r="R64" i="9"/>
  <c r="R56" i="9"/>
  <c r="P68" i="9"/>
  <c r="P66" i="9"/>
  <c r="P62" i="9"/>
  <c r="Q57" i="9"/>
  <c r="R62" i="9"/>
  <c r="R66" i="9"/>
  <c r="R58" i="9"/>
  <c r="R57" i="9"/>
  <c r="R61" i="9"/>
  <c r="P56" i="9"/>
  <c r="P61" i="9"/>
  <c r="P59" i="9"/>
  <c r="P63" i="9"/>
  <c r="Q68" i="9"/>
  <c r="Q64" i="9"/>
  <c r="Q66" i="9"/>
  <c r="Q63" i="9"/>
  <c r="L48" i="9"/>
  <c r="L49" i="9" s="1"/>
  <c r="Q67" i="9"/>
  <c r="P60" i="9"/>
  <c r="P65" i="9"/>
  <c r="P67" i="9"/>
  <c r="P58" i="9"/>
  <c r="Q65" i="9"/>
  <c r="Q56" i="9"/>
  <c r="R63" i="9"/>
  <c r="Q58" i="9"/>
  <c r="R68" i="9"/>
  <c r="Q62" i="9"/>
  <c r="Q59" i="9"/>
  <c r="BQ32" i="9"/>
  <c r="BI18" i="9"/>
  <c r="BK18" i="9" s="1"/>
  <c r="Q64" i="5"/>
  <c r="R66" i="5"/>
  <c r="CO18" i="5"/>
  <c r="CQ18" i="5" s="1"/>
  <c r="DS18" i="5"/>
  <c r="DU18" i="5" s="1"/>
  <c r="AM17" i="5"/>
  <c r="CC17" i="5" s="1"/>
  <c r="AL17" i="5"/>
  <c r="CB17" i="5" s="1"/>
  <c r="R60" i="5"/>
  <c r="Q59" i="5"/>
  <c r="P64" i="5"/>
  <c r="R64" i="5"/>
  <c r="Q70" i="5"/>
  <c r="P61" i="5"/>
  <c r="R72" i="5"/>
  <c r="R69" i="5"/>
  <c r="P72" i="5"/>
  <c r="R62" i="5"/>
  <c r="Q68" i="5"/>
  <c r="R67" i="5"/>
  <c r="Q67" i="5"/>
  <c r="P67" i="5"/>
  <c r="Q69" i="5"/>
  <c r="Q71" i="5"/>
  <c r="R65" i="5"/>
  <c r="Q66" i="5"/>
  <c r="P70" i="5"/>
  <c r="P59" i="5"/>
  <c r="Q60" i="5"/>
  <c r="P68" i="5"/>
  <c r="Q61" i="5"/>
  <c r="Q72" i="5"/>
  <c r="R71" i="5"/>
  <c r="P65" i="5"/>
  <c r="P66" i="5"/>
  <c r="P71" i="5"/>
  <c r="P63" i="5"/>
  <c r="R70" i="5"/>
  <c r="Q65" i="5"/>
  <c r="P60" i="5"/>
  <c r="P62" i="5"/>
  <c r="R61" i="5"/>
  <c r="P69" i="5"/>
  <c r="CY18" i="5"/>
  <c r="CK18" i="5" s="1"/>
  <c r="CD18" i="5"/>
  <c r="CI18" i="5"/>
  <c r="BK32" i="9"/>
  <c r="BF16" i="5"/>
  <c r="BN15" i="5" s="1"/>
  <c r="CX36" i="9"/>
  <c r="CR36" i="9"/>
  <c r="CT36" i="9" s="1"/>
  <c r="CN36" i="9"/>
  <c r="BK36" i="9"/>
  <c r="BW36" i="9"/>
  <c r="BQ36" i="9"/>
  <c r="BS36" i="9" s="1"/>
  <c r="BP36" i="9"/>
  <c r="BM36" i="9"/>
  <c r="BW32" i="9"/>
  <c r="BM32" i="9"/>
  <c r="CR32" i="9"/>
  <c r="CB18" i="9"/>
  <c r="CD18" i="9" s="1"/>
  <c r="CI18" i="9"/>
  <c r="CN32" i="9"/>
  <c r="CX32" i="9"/>
  <c r="CD17" i="9"/>
  <c r="CY17" i="9"/>
  <c r="CJ17" i="9" s="1"/>
  <c r="CO15" i="9"/>
  <c r="CI17" i="9"/>
  <c r="BN17" i="9"/>
  <c r="BI17" i="9"/>
  <c r="BT17" i="9"/>
  <c r="BV17" i="9" s="1"/>
  <c r="BJ17" i="9"/>
  <c r="BP18" i="9"/>
  <c r="BQ18" i="9"/>
  <c r="BS18" i="9" s="1"/>
  <c r="BC18" i="5"/>
  <c r="BX18" i="5"/>
  <c r="BT18" i="5" s="1"/>
  <c r="BV18" i="5" s="1"/>
  <c r="DM17" i="5"/>
  <c r="BC17" i="5"/>
  <c r="DR17" i="5"/>
  <c r="DS17" i="5"/>
  <c r="DU17" i="5" s="1"/>
  <c r="CY32" i="5"/>
  <c r="CO32" i="5" s="1"/>
  <c r="CI17" i="5"/>
  <c r="BX17" i="5"/>
  <c r="BN17" i="5" s="1"/>
  <c r="CD32" i="5"/>
  <c r="CI32" i="5"/>
  <c r="Y32" i="5"/>
  <c r="BB32" i="5"/>
  <c r="Y18" i="5"/>
  <c r="Y17" i="5"/>
  <c r="L49" i="5"/>
  <c r="CM36" i="9" l="1"/>
  <c r="BL36" i="9"/>
  <c r="BS32" i="9"/>
  <c r="BL32" i="9"/>
  <c r="CD17" i="5"/>
  <c r="CY17" i="5"/>
  <c r="CO17" i="5" s="1"/>
  <c r="CQ17" i="5" s="1"/>
  <c r="CU18" i="5"/>
  <c r="CR18" i="5" s="1"/>
  <c r="CT18" i="5" s="1"/>
  <c r="DO18" i="5"/>
  <c r="BN18" i="5"/>
  <c r="BM18" i="5" s="1"/>
  <c r="DO17" i="5"/>
  <c r="CJ18" i="5"/>
  <c r="CL18" i="5" s="1"/>
  <c r="BK17" i="9"/>
  <c r="CY18" i="9"/>
  <c r="CO18" i="9" s="1"/>
  <c r="CT32" i="9"/>
  <c r="CM32" i="9" s="1"/>
  <c r="CK17" i="9"/>
  <c r="CL17" i="9" s="1"/>
  <c r="CU17" i="9"/>
  <c r="CW17" i="9" s="1"/>
  <c r="CU15" i="9"/>
  <c r="CO17" i="9"/>
  <c r="BQ17" i="9"/>
  <c r="BS17" i="9" s="1"/>
  <c r="BP17" i="9"/>
  <c r="BM18" i="9"/>
  <c r="CU32" i="5"/>
  <c r="CW32" i="5" s="1"/>
  <c r="BJ18" i="5"/>
  <c r="BI18" i="5"/>
  <c r="CK17" i="5"/>
  <c r="CU17" i="5"/>
  <c r="CW17" i="5" s="1"/>
  <c r="CK32" i="5"/>
  <c r="CJ32" i="5"/>
  <c r="BI17" i="5"/>
  <c r="BT17" i="5"/>
  <c r="BV17" i="5" s="1"/>
  <c r="BJ17" i="5"/>
  <c r="CQ32" i="5"/>
  <c r="DE32" i="5"/>
  <c r="BC32" i="5"/>
  <c r="BX32" i="5"/>
  <c r="L52" i="5"/>
  <c r="L50" i="5"/>
  <c r="L51" i="5" s="1"/>
  <c r="CJ17" i="5" l="1"/>
  <c r="CL17" i="5" s="1"/>
  <c r="CW18" i="5"/>
  <c r="CN18" i="5"/>
  <c r="BM17" i="9"/>
  <c r="CQ18" i="9"/>
  <c r="CU18" i="9"/>
  <c r="CW18" i="9" s="1"/>
  <c r="CK18" i="9"/>
  <c r="CJ18" i="9"/>
  <c r="CQ17" i="9"/>
  <c r="CR17" i="9"/>
  <c r="CT17" i="9" s="1"/>
  <c r="CX32" i="5"/>
  <c r="CR32" i="5"/>
  <c r="CT32" i="5" s="1"/>
  <c r="CR17" i="5"/>
  <c r="CT17" i="5" s="1"/>
  <c r="CL32" i="5"/>
  <c r="BP18" i="5"/>
  <c r="BQ18" i="5"/>
  <c r="BS18" i="5" s="1"/>
  <c r="BK18" i="5"/>
  <c r="BK17" i="5"/>
  <c r="BP17" i="5"/>
  <c r="BQ17" i="5"/>
  <c r="BS17" i="5" s="1"/>
  <c r="DM32" i="5"/>
  <c r="DR32" i="5"/>
  <c r="DX32" i="5"/>
  <c r="BJ32" i="5"/>
  <c r="BT32" i="5"/>
  <c r="BV32" i="5" s="1"/>
  <c r="BI32" i="5"/>
  <c r="BN32" i="5"/>
  <c r="L53" i="5"/>
  <c r="BM17" i="5" l="1"/>
  <c r="CN32" i="5"/>
  <c r="CN17" i="5"/>
  <c r="CM32" i="5"/>
  <c r="CL18" i="9"/>
  <c r="CR18" i="9"/>
  <c r="CN17" i="9"/>
  <c r="DS32" i="5"/>
  <c r="DU32" i="5" s="1"/>
  <c r="DN32" i="5" s="1"/>
  <c r="DY32" i="5"/>
  <c r="BK32" i="5"/>
  <c r="BW32" i="5"/>
  <c r="BQ32" i="5"/>
  <c r="BP32" i="5"/>
  <c r="CT18" i="9" l="1"/>
  <c r="CN18" i="9" s="1"/>
  <c r="DO32" i="5"/>
  <c r="BS32" i="5"/>
  <c r="BL32" i="5" l="1"/>
  <c r="BM32" i="5"/>
</calcChain>
</file>

<file path=xl/comments1.xml><?xml version="1.0" encoding="utf-8"?>
<comments xmlns="http://schemas.openxmlformats.org/spreadsheetml/2006/main">
  <authors>
    <author>Will Hopkins</author>
    <author>Reviewer</author>
    <author>whopkins</author>
  </authors>
  <commentList>
    <comment ref="P3" authorId="0" shapeId="0">
      <text>
        <r>
          <rPr>
            <sz val="8"/>
            <color indexed="81"/>
            <rFont val="Tahoma"/>
            <family val="2"/>
          </rPr>
          <t>These cells are used to get  clinical inferences the right way around.</t>
        </r>
      </text>
    </comment>
    <comment ref="BA7" authorId="1" shapeId="0">
      <text>
        <r>
          <rPr>
            <sz val="8"/>
            <color indexed="81"/>
            <rFont val="Tahoma"/>
            <family val="2"/>
          </rPr>
          <t>The chance of harm has to be less than this value for an effect to be clinically beneficial.  That is, the effect can be clinically beneficial only when it is most unlikely to be harmful.</t>
        </r>
      </text>
    </comment>
    <comment ref="BC7" authorId="1" shapeId="0">
      <text>
        <r>
          <rPr>
            <sz val="8"/>
            <color indexed="81"/>
            <rFont val="Tahoma"/>
            <family val="2"/>
          </rPr>
          <t>For an effect to be mechanistically clear, the chance that the true effect is substantially positive OR the chance that the true effect is substantially negative has to be less than this value.  That is, the effect is clear when the true effect is either very unlikely to be positive or very unlikely to be negative.
This value also sets the level for the confidence limits: 5 produces 90% limits, 2.5 produces 95% limits, and so on.</t>
        </r>
      </text>
    </comment>
    <comment ref="BE7" authorId="1" shapeId="0">
      <text>
        <r>
          <rPr>
            <sz val="8"/>
            <color indexed="81"/>
            <rFont val="Tahoma"/>
            <family val="2"/>
          </rPr>
          <t>The chance of benefit has to be greater than this value for an effect to be clinically beneficial.  That is, the effect can be clinically beneficial only when it is at least possibly beneficial.</t>
        </r>
      </text>
    </comment>
    <comment ref="BF14" authorId="0" shapeId="0">
      <text>
        <r>
          <rPr>
            <sz val="8"/>
            <color indexed="81"/>
            <rFont val="Tahoma"/>
            <family val="2"/>
          </rPr>
          <t>If these cells show #VALUE! see instructions at top left of spreadsheet.</t>
        </r>
      </text>
    </comment>
    <comment ref="CG14" authorId="0" shapeId="0">
      <text>
        <r>
          <rPr>
            <sz val="8"/>
            <color indexed="81"/>
            <rFont val="Tahoma"/>
            <family val="2"/>
          </rPr>
          <t>If these cells show #VALUE! see instructions at top left of spreadsheet.</t>
        </r>
      </text>
    </comment>
    <comment ref="BF29" authorId="0" shapeId="0">
      <text>
        <r>
          <rPr>
            <sz val="8"/>
            <color indexed="81"/>
            <rFont val="Tahoma"/>
            <family val="2"/>
          </rPr>
          <t>If these cells show #VALUE! see instructions at top left of spreadsheet.</t>
        </r>
      </text>
    </comment>
    <comment ref="CG29" authorId="0" shapeId="0">
      <text>
        <r>
          <rPr>
            <sz val="8"/>
            <color indexed="81"/>
            <rFont val="Tahoma"/>
            <family val="2"/>
          </rPr>
          <t>If these cells show #VALUE! see instructions at top left of spreadsheet.</t>
        </r>
      </text>
    </comment>
    <comment ref="BW30" authorId="2" shapeId="0">
      <text>
        <r>
          <rPr>
            <sz val="8"/>
            <color indexed="81"/>
            <rFont val="Tahoma"/>
            <family val="2"/>
          </rPr>
          <t>An unclear clinical effect with odds ratio of benefit/harm ≥66 can be deemed clear, if you want to be less conservative about harm.</t>
        </r>
      </text>
    </comment>
    <comment ref="CX30" authorId="2" shapeId="0">
      <text>
        <r>
          <rPr>
            <sz val="8"/>
            <color indexed="81"/>
            <rFont val="Tahoma"/>
            <family val="2"/>
          </rPr>
          <t>An unclear clinical effect with odds ratio of benefit/harm ≥66 can be deemed clear, if you want to be less conservative about harm.</t>
        </r>
      </text>
    </comment>
    <comment ref="BF33" authorId="0" shapeId="0">
      <text>
        <r>
          <rPr>
            <sz val="8"/>
            <color indexed="81"/>
            <rFont val="Tahoma"/>
            <family val="2"/>
          </rPr>
          <t>If these cells show #VALUE! see instructions at top left of spreadsheet.</t>
        </r>
      </text>
    </comment>
    <comment ref="CG33" authorId="0" shapeId="0">
      <text>
        <r>
          <rPr>
            <sz val="8"/>
            <color indexed="81"/>
            <rFont val="Tahoma"/>
            <family val="2"/>
          </rPr>
          <t>If these cells show #VALUE! see instructions at top left of spreadsheet.</t>
        </r>
      </text>
    </comment>
    <comment ref="BW34" authorId="2" shapeId="0">
      <text>
        <r>
          <rPr>
            <sz val="8"/>
            <color indexed="81"/>
            <rFont val="Tahoma"/>
            <family val="2"/>
          </rPr>
          <t>An unclear clinical effect with odds ratio of benefit/harm ≥66 can be deemed clear, if you want to be less conservative about harm.</t>
        </r>
      </text>
    </comment>
    <comment ref="CX34" authorId="2" shapeId="0">
      <text>
        <r>
          <rPr>
            <sz val="8"/>
            <color indexed="81"/>
            <rFont val="Tahoma"/>
            <family val="2"/>
          </rPr>
          <t>An unclear clinical effect with odds ratio of benefit/harm ≥66 can be deemed clear, if you want to be less conservative about harm.</t>
        </r>
      </text>
    </comment>
  </commentList>
</comments>
</file>

<file path=xl/comments2.xml><?xml version="1.0" encoding="utf-8"?>
<comments xmlns="http://schemas.openxmlformats.org/spreadsheetml/2006/main">
  <authors>
    <author>Will Hopkins</author>
    <author>Reviewer</author>
    <author>whopkins</author>
  </authors>
  <commentList>
    <comment ref="P3" authorId="0" shapeId="0">
      <text>
        <r>
          <rPr>
            <sz val="8"/>
            <color indexed="81"/>
            <rFont val="Tahoma"/>
            <family val="2"/>
          </rPr>
          <t>These cells are used to get  clinical inferences the right way around.</t>
        </r>
      </text>
    </comment>
    <comment ref="BA7" authorId="1" shapeId="0">
      <text>
        <r>
          <rPr>
            <sz val="8"/>
            <color indexed="81"/>
            <rFont val="Tahoma"/>
            <family val="2"/>
          </rPr>
          <t>The chance of harm has to be less than this value for an effect to be clinically beneficial.  That is, the effect can be clinically beneficial only when it is most unlikely to be harmful.</t>
        </r>
      </text>
    </comment>
    <comment ref="BC7" authorId="1" shapeId="0">
      <text>
        <r>
          <rPr>
            <sz val="8"/>
            <color indexed="81"/>
            <rFont val="Tahoma"/>
            <family val="2"/>
          </rPr>
          <t>For an effect to be mechanistically clear, the chance that the true effect is substantially positive OR the chance that the true effect is substantially negative has to be less than this value.  That is, the effect is clear when the true effect is either very unlikely to be positive or very unlikely to be negative.
This value also sets the level for the confidence limits: 5 produces 90% limits, 2.5 produces 95% limits, and so on.</t>
        </r>
      </text>
    </comment>
    <comment ref="BE7" authorId="1" shapeId="0">
      <text>
        <r>
          <rPr>
            <sz val="8"/>
            <color indexed="81"/>
            <rFont val="Tahoma"/>
            <family val="2"/>
          </rPr>
          <t>The chance of benefit has to be greater than this value for an effect to be clinically beneficial.  That is, the effect can be clinically beneficial only when it is at least possibly beneficial.</t>
        </r>
      </text>
    </comment>
    <comment ref="BF14" authorId="0" shapeId="0">
      <text>
        <r>
          <rPr>
            <sz val="8"/>
            <color indexed="81"/>
            <rFont val="Tahoma"/>
            <family val="2"/>
          </rPr>
          <t>If these cells show #VALUE! see instructions at top left of spreadsheet.</t>
        </r>
      </text>
    </comment>
    <comment ref="CG14" authorId="0" shapeId="0">
      <text>
        <r>
          <rPr>
            <sz val="8"/>
            <color indexed="81"/>
            <rFont val="Tahoma"/>
            <family val="2"/>
          </rPr>
          <t>If these cells show #VALUE! see instructions at top left of spreadsheet.</t>
        </r>
      </text>
    </comment>
    <comment ref="BF29" authorId="0" shapeId="0">
      <text>
        <r>
          <rPr>
            <sz val="8"/>
            <color indexed="81"/>
            <rFont val="Tahoma"/>
            <family val="2"/>
          </rPr>
          <t>If these cells show #VALUE! see instructions at top left of spreadsheet.</t>
        </r>
      </text>
    </comment>
    <comment ref="CG29" authorId="0" shapeId="0">
      <text>
        <r>
          <rPr>
            <sz val="8"/>
            <color indexed="81"/>
            <rFont val="Tahoma"/>
            <family val="2"/>
          </rPr>
          <t>If these cells show #VALUE! see instructions at top left of spreadsheet.</t>
        </r>
      </text>
    </comment>
    <comment ref="BW30" authorId="2" shapeId="0">
      <text>
        <r>
          <rPr>
            <sz val="8"/>
            <color indexed="81"/>
            <rFont val="Tahoma"/>
            <family val="2"/>
          </rPr>
          <t>An unclear clinical effect with odds ratio of benefit/harm ≥66 can be deemed clear, if you want to be less conservative about harm.</t>
        </r>
      </text>
    </comment>
    <comment ref="CX30" authorId="2" shapeId="0">
      <text>
        <r>
          <rPr>
            <sz val="8"/>
            <color indexed="81"/>
            <rFont val="Tahoma"/>
            <family val="2"/>
          </rPr>
          <t>An unclear clinical effect with odds ratio of benefit/harm ≥66 can be deemed clear, if you want to be less conservative about harm.</t>
        </r>
      </text>
    </comment>
    <comment ref="BF33" authorId="0" shapeId="0">
      <text>
        <r>
          <rPr>
            <sz val="8"/>
            <color indexed="81"/>
            <rFont val="Tahoma"/>
            <family val="2"/>
          </rPr>
          <t>If these cells show #VALUE! see instructions at top left of spreadsheet.</t>
        </r>
      </text>
    </comment>
    <comment ref="CG33" authorId="0" shapeId="0">
      <text>
        <r>
          <rPr>
            <sz val="8"/>
            <color indexed="81"/>
            <rFont val="Tahoma"/>
            <family val="2"/>
          </rPr>
          <t>If these cells show #VALUE! see instructions at top left of spreadsheet.</t>
        </r>
      </text>
    </comment>
    <comment ref="BW34" authorId="2" shapeId="0">
      <text>
        <r>
          <rPr>
            <sz val="8"/>
            <color indexed="81"/>
            <rFont val="Tahoma"/>
            <family val="2"/>
          </rPr>
          <t>An unclear clinical effect with odds ratio of benefit/harm ≥66 can be deemed clear, if you want to be less conservative about harm.</t>
        </r>
      </text>
    </comment>
    <comment ref="CX34" authorId="2" shapeId="0">
      <text>
        <r>
          <rPr>
            <sz val="8"/>
            <color indexed="81"/>
            <rFont val="Tahoma"/>
            <family val="2"/>
          </rPr>
          <t>An unclear clinical effect with odds ratio of benefit/harm ≥66 can be deemed clear, if you want to be less conservative about harm.</t>
        </r>
      </text>
    </comment>
  </commentList>
</comments>
</file>

<file path=xl/comments3.xml><?xml version="1.0" encoding="utf-8"?>
<comments xmlns="http://schemas.openxmlformats.org/spreadsheetml/2006/main">
  <authors>
    <author>Will Hopkins</author>
    <author>Reviewer</author>
    <author>whopkins</author>
  </authors>
  <commentList>
    <comment ref="P3" authorId="0" shapeId="0">
      <text>
        <r>
          <rPr>
            <sz val="8"/>
            <color indexed="81"/>
            <rFont val="Tahoma"/>
            <family val="2"/>
          </rPr>
          <t>These cells are used to get  clinical inferences the right way around.</t>
        </r>
      </text>
    </comment>
    <comment ref="BA7" authorId="1" shapeId="0">
      <text>
        <r>
          <rPr>
            <sz val="8"/>
            <color indexed="81"/>
            <rFont val="Tahoma"/>
            <family val="2"/>
          </rPr>
          <t>The chance of harm has to be less than this value for an effect to be clinically beneficial.  That is, the effect can be clinically beneficial only when it is most unlikely to be harmful.</t>
        </r>
      </text>
    </comment>
    <comment ref="BC7" authorId="1" shapeId="0">
      <text>
        <r>
          <rPr>
            <sz val="8"/>
            <color indexed="81"/>
            <rFont val="Tahoma"/>
            <family val="2"/>
          </rPr>
          <t>For an effect to be mechanistically clear, the chance that the true effect is substantially positive OR the chance that the true effect is substantially negative has to be less than this value.  That is, the effect is clear when the true effect is either very unlikely to be positive or very unlikely to be negative.
This value also sets the level for the confidence limits: 5 produces 90% limits, 2.5 produces 95% limits, and so on.</t>
        </r>
      </text>
    </comment>
    <comment ref="BE7" authorId="1" shapeId="0">
      <text>
        <r>
          <rPr>
            <sz val="8"/>
            <color indexed="81"/>
            <rFont val="Tahoma"/>
            <family val="2"/>
          </rPr>
          <t>The chance of benefit has to be greater than this value for an effect to be clinically beneficial.  That is, the effect can be clinically beneficial only when it is at least possibly beneficial.</t>
        </r>
      </text>
    </comment>
    <comment ref="BF14" authorId="0" shapeId="0">
      <text>
        <r>
          <rPr>
            <sz val="8"/>
            <color indexed="81"/>
            <rFont val="Tahoma"/>
            <family val="2"/>
          </rPr>
          <t>If these cells show #VALUE! see instructions at top left of spreadsheet.</t>
        </r>
      </text>
    </comment>
    <comment ref="CG14" authorId="0" shapeId="0">
      <text>
        <r>
          <rPr>
            <sz val="8"/>
            <color indexed="81"/>
            <rFont val="Tahoma"/>
            <family val="2"/>
          </rPr>
          <t>If these cells show #VALUE! see instructions at top left of spreadsheet.</t>
        </r>
      </text>
    </comment>
    <comment ref="BF29" authorId="0" shapeId="0">
      <text>
        <r>
          <rPr>
            <sz val="8"/>
            <color indexed="81"/>
            <rFont val="Tahoma"/>
            <family val="2"/>
          </rPr>
          <t>If these cells show #VALUE! see instructions at top left of spreadsheet.</t>
        </r>
      </text>
    </comment>
    <comment ref="CG29" authorId="0" shapeId="0">
      <text>
        <r>
          <rPr>
            <sz val="8"/>
            <color indexed="81"/>
            <rFont val="Tahoma"/>
            <family val="2"/>
          </rPr>
          <t>If these cells show #VALUE! see instructions at top left of spreadsheet.</t>
        </r>
      </text>
    </comment>
    <comment ref="BW30" authorId="2" shapeId="0">
      <text>
        <r>
          <rPr>
            <sz val="8"/>
            <color indexed="81"/>
            <rFont val="Tahoma"/>
            <family val="2"/>
          </rPr>
          <t>An unclear clinical effect with odds ratio of benefit/harm ≥66 can be deemed clear, if you want to be less conservative about harm.</t>
        </r>
      </text>
    </comment>
    <comment ref="CX30" authorId="2" shapeId="0">
      <text>
        <r>
          <rPr>
            <sz val="8"/>
            <color indexed="81"/>
            <rFont val="Tahoma"/>
            <family val="2"/>
          </rPr>
          <t>An unclear clinical effect with odds ratio of benefit/harm ≥66 can be deemed clear, if you want to be less conservative about harm.</t>
        </r>
      </text>
    </comment>
    <comment ref="BF33" authorId="0" shapeId="0">
      <text>
        <r>
          <rPr>
            <sz val="8"/>
            <color indexed="81"/>
            <rFont val="Tahoma"/>
            <family val="2"/>
          </rPr>
          <t>If these cells show #VALUE! see instructions at top left of spreadsheet.</t>
        </r>
      </text>
    </comment>
    <comment ref="CG33" authorId="0" shapeId="0">
      <text>
        <r>
          <rPr>
            <sz val="8"/>
            <color indexed="81"/>
            <rFont val="Tahoma"/>
            <family val="2"/>
          </rPr>
          <t>If these cells show #VALUE! see instructions at top left of spreadsheet.</t>
        </r>
      </text>
    </comment>
    <comment ref="BW34" authorId="2" shapeId="0">
      <text>
        <r>
          <rPr>
            <sz val="8"/>
            <color indexed="81"/>
            <rFont val="Tahoma"/>
            <family val="2"/>
          </rPr>
          <t>An unclear clinical effect with odds ratio of benefit/harm ≥66 can be deemed clear, if you want to be less conservative about harm.</t>
        </r>
      </text>
    </comment>
    <comment ref="CX34" authorId="2" shapeId="0">
      <text>
        <r>
          <rPr>
            <sz val="8"/>
            <color indexed="81"/>
            <rFont val="Tahoma"/>
            <family val="2"/>
          </rPr>
          <t>An unclear clinical effect with odds ratio of benefit/harm ≥66 can be deemed clear, if you want to be less conservative about harm.</t>
        </r>
      </text>
    </comment>
    <comment ref="BF37" authorId="0" shapeId="0">
      <text>
        <r>
          <rPr>
            <sz val="8"/>
            <color indexed="81"/>
            <rFont val="Tahoma"/>
            <family val="2"/>
          </rPr>
          <t>If these cells show #VALUE! see instructions at top left of spreadsheet.</t>
        </r>
      </text>
    </comment>
    <comment ref="CG37" authorId="0" shapeId="0">
      <text>
        <r>
          <rPr>
            <sz val="8"/>
            <color indexed="81"/>
            <rFont val="Tahoma"/>
            <family val="2"/>
          </rPr>
          <t>If these cells show #VALUE! see instructions at top left of spreadsheet.</t>
        </r>
      </text>
    </comment>
    <comment ref="BW38" authorId="2" shapeId="0">
      <text>
        <r>
          <rPr>
            <sz val="8"/>
            <color indexed="81"/>
            <rFont val="Tahoma"/>
            <family val="2"/>
          </rPr>
          <t>An unclear clinical effect with odds ratio of benefit/harm ≥66 can be deemed clear, if you want to be less conservative about harm.</t>
        </r>
      </text>
    </comment>
    <comment ref="CX38" authorId="2" shapeId="0">
      <text>
        <r>
          <rPr>
            <sz val="8"/>
            <color indexed="81"/>
            <rFont val="Tahoma"/>
            <family val="2"/>
          </rPr>
          <t>An unclear clinical effect with odds ratio of benefit/harm ≥66 can be deemed clear, if you want to be less conservative about harm.</t>
        </r>
      </text>
    </comment>
    <comment ref="BF41" authorId="0" shapeId="0">
      <text>
        <r>
          <rPr>
            <sz val="8"/>
            <color indexed="81"/>
            <rFont val="Tahoma"/>
            <family val="2"/>
          </rPr>
          <t>If these cells show #VALUE! see instructions at top left of spreadsheet.</t>
        </r>
      </text>
    </comment>
    <comment ref="CG41" authorId="0" shapeId="0">
      <text>
        <r>
          <rPr>
            <sz val="8"/>
            <color indexed="81"/>
            <rFont val="Tahoma"/>
            <family val="2"/>
          </rPr>
          <t>If these cells show #VALUE! see instructions at top left of spreadsheet.</t>
        </r>
      </text>
    </comment>
    <comment ref="BW42" authorId="2" shapeId="0">
      <text>
        <r>
          <rPr>
            <sz val="8"/>
            <color indexed="81"/>
            <rFont val="Tahoma"/>
            <family val="2"/>
          </rPr>
          <t>An unclear clinical effect with odds ratio of benefit/harm ≥66 can be deemed clear, if you want to be less conservative about harm.</t>
        </r>
      </text>
    </comment>
    <comment ref="CX42" authorId="2" shapeId="0">
      <text>
        <r>
          <rPr>
            <sz val="8"/>
            <color indexed="81"/>
            <rFont val="Tahoma"/>
            <family val="2"/>
          </rPr>
          <t>An unclear clinical effect with odds ratio of benefit/harm ≥66 can be deemed clear, if you want to be less conservative about harm.</t>
        </r>
      </text>
    </comment>
    <comment ref="BF45" authorId="0" shapeId="0">
      <text>
        <r>
          <rPr>
            <sz val="8"/>
            <color indexed="81"/>
            <rFont val="Tahoma"/>
            <family val="2"/>
          </rPr>
          <t>If these cells show #VALUE! see instructions at top left of spreadsheet.</t>
        </r>
      </text>
    </comment>
    <comment ref="CG45" authorId="0" shapeId="0">
      <text>
        <r>
          <rPr>
            <sz val="8"/>
            <color indexed="81"/>
            <rFont val="Tahoma"/>
            <family val="2"/>
          </rPr>
          <t>If these cells show #VALUE! see instructions at top left of spreadsheet.</t>
        </r>
      </text>
    </comment>
    <comment ref="BW46" authorId="2" shapeId="0">
      <text>
        <r>
          <rPr>
            <sz val="8"/>
            <color indexed="81"/>
            <rFont val="Tahoma"/>
            <family val="2"/>
          </rPr>
          <t>An unclear clinical effect with odds ratio of benefit/harm ≥66 can be deemed clear, if you want to be less conservative about harm.</t>
        </r>
      </text>
    </comment>
    <comment ref="CX46" authorId="2" shapeId="0">
      <text>
        <r>
          <rPr>
            <sz val="8"/>
            <color indexed="81"/>
            <rFont val="Tahoma"/>
            <family val="2"/>
          </rPr>
          <t>An unclear clinical effect with odds ratio of benefit/harm ≥66 can be deemed clear, if you want to be less conservative about harm.</t>
        </r>
      </text>
    </comment>
  </commentList>
</comments>
</file>

<file path=xl/comments4.xml><?xml version="1.0" encoding="utf-8"?>
<comments xmlns="http://schemas.openxmlformats.org/spreadsheetml/2006/main">
  <authors>
    <author>Will Hopkins</author>
    <author>Reviewer</author>
    <author>whopkins</author>
  </authors>
  <commentList>
    <comment ref="P3" authorId="0" shapeId="0">
      <text>
        <r>
          <rPr>
            <sz val="8"/>
            <color indexed="81"/>
            <rFont val="Tahoma"/>
            <family val="2"/>
          </rPr>
          <t>These cells are used to get  clinical inferences the right way around.</t>
        </r>
      </text>
    </comment>
    <comment ref="BA7" authorId="1" shapeId="0">
      <text>
        <r>
          <rPr>
            <sz val="8"/>
            <color indexed="81"/>
            <rFont val="Tahoma"/>
            <family val="2"/>
          </rPr>
          <t>The chance of harm has to be less than this value for an effect to be clinically beneficial.  That is, the effect can be clinically beneficial only when it is most unlikely to be harmful.</t>
        </r>
      </text>
    </comment>
    <comment ref="BC7" authorId="1" shapeId="0">
      <text>
        <r>
          <rPr>
            <sz val="8"/>
            <color indexed="81"/>
            <rFont val="Tahoma"/>
            <family val="2"/>
          </rPr>
          <t>For an effect to be mechanistically clear, the chance that the true effect is substantially positive OR the chance that the true effect is substantially negative has to be less than this value.  That is, the effect is clear when the true effect is either very unlikely to be positive or very unlikely to be negative.</t>
        </r>
      </text>
    </comment>
    <comment ref="BE7" authorId="1" shapeId="0">
      <text>
        <r>
          <rPr>
            <sz val="8"/>
            <color indexed="81"/>
            <rFont val="Tahoma"/>
            <family val="2"/>
          </rPr>
          <t>The chance of benefit has to be greater than this value for an effect to be clinically beneficial.  That is, the effect can be clinically beneficial only when it is at least possibly beneficial.</t>
        </r>
      </text>
    </comment>
    <comment ref="BF14" authorId="0" shapeId="0">
      <text>
        <r>
          <rPr>
            <sz val="8"/>
            <color indexed="81"/>
            <rFont val="Tahoma"/>
            <family val="2"/>
          </rPr>
          <t>If these cells show #VALUE! see instructions at top left of spreadsheet.</t>
        </r>
      </text>
    </comment>
    <comment ref="CG14" authorId="0" shapeId="0">
      <text>
        <r>
          <rPr>
            <sz val="8"/>
            <color indexed="81"/>
            <rFont val="Tahoma"/>
            <family val="2"/>
          </rPr>
          <t>If these cells show #VALUE! see instructions at top left of spreadsheet.</t>
        </r>
      </text>
    </comment>
    <comment ref="DH14" authorId="0" shapeId="0">
      <text>
        <r>
          <rPr>
            <sz val="8"/>
            <color indexed="81"/>
            <rFont val="Tahoma"/>
            <family val="2"/>
          </rPr>
          <t>If these cells show #VALUE! see instructions at top left of spreadsheet.</t>
        </r>
      </text>
    </comment>
    <comment ref="W16" authorId="0" shapeId="0">
      <text>
        <r>
          <rPr>
            <sz val="8"/>
            <color indexed="81"/>
            <rFont val="Tahoma"/>
            <family val="2"/>
          </rPr>
          <t>via applicaton of z
value value to the estimate, assuming the estimate is log-normally distributed.</t>
        </r>
      </text>
    </comment>
    <comment ref="X16" authorId="0" shapeId="0">
      <text>
        <r>
          <rPr>
            <sz val="8"/>
            <color indexed="81"/>
            <rFont val="Tahoma"/>
            <family val="2"/>
          </rPr>
          <t>via applicaton of z value to the estimate, assuming the estimate is log-normally distributed.</t>
        </r>
      </text>
    </comment>
    <comment ref="BF29" authorId="0" shapeId="0">
      <text>
        <r>
          <rPr>
            <sz val="8"/>
            <color indexed="81"/>
            <rFont val="Tahoma"/>
            <family val="2"/>
          </rPr>
          <t>If these cells show #VALUE! see instructions at top left of spreadsheet.</t>
        </r>
      </text>
    </comment>
    <comment ref="CG29" authorId="0" shapeId="0">
      <text>
        <r>
          <rPr>
            <sz val="8"/>
            <color indexed="81"/>
            <rFont val="Tahoma"/>
            <family val="2"/>
          </rPr>
          <t>If these cells show #VALUE! see instructions at top left of spreadsheet.</t>
        </r>
      </text>
    </comment>
    <comment ref="DH29" authorId="0" shapeId="0">
      <text>
        <r>
          <rPr>
            <sz val="8"/>
            <color indexed="81"/>
            <rFont val="Tahoma"/>
            <family val="2"/>
          </rPr>
          <t>If these cells show #VALUE! see instructions at top left of spreadsheet.</t>
        </r>
      </text>
    </comment>
    <comment ref="BW30" authorId="2" shapeId="0">
      <text>
        <r>
          <rPr>
            <sz val="8"/>
            <color indexed="81"/>
            <rFont val="Tahoma"/>
            <family val="2"/>
          </rPr>
          <t>An unclear clinical effect with odds ratio of benefit/harm ≥66 can be deemed clear, if you want to be less conservative about harm.</t>
        </r>
      </text>
    </comment>
    <comment ref="CX30" authorId="2" shapeId="0">
      <text>
        <r>
          <rPr>
            <sz val="8"/>
            <color indexed="81"/>
            <rFont val="Tahoma"/>
            <family val="2"/>
          </rPr>
          <t>An unclear clinical effect with odds ratio of benefit/harm ≥66 can be deemed clear, if you want to be less conservative about harm.</t>
        </r>
      </text>
    </comment>
    <comment ref="DY30" authorId="2" shapeId="0">
      <text>
        <r>
          <rPr>
            <sz val="8"/>
            <color indexed="81"/>
            <rFont val="Tahoma"/>
            <family val="2"/>
          </rPr>
          <t>An unclear clinical effect with odds ratio of benefit/harm ≥66 can be deemed clear, if you want to be less conservative about harm.</t>
        </r>
      </text>
    </comment>
    <comment ref="W31" authorId="0" shapeId="0">
      <text>
        <r>
          <rPr>
            <sz val="8"/>
            <color indexed="81"/>
            <rFont val="Tahoma"/>
            <family val="2"/>
          </rPr>
          <t>via applicaton of t value to the estimate, assuming the estimate is log-normally distributed.</t>
        </r>
      </text>
    </comment>
    <comment ref="X31" authorId="0" shapeId="0">
      <text>
        <r>
          <rPr>
            <sz val="8"/>
            <color indexed="81"/>
            <rFont val="Tahoma"/>
            <family val="2"/>
          </rPr>
          <t>via applicaton of t value to the estimate, assuming the estimate is log-normally distributed.</t>
        </r>
      </text>
    </comment>
    <comment ref="BF33" authorId="0" shapeId="0">
      <text>
        <r>
          <rPr>
            <sz val="8"/>
            <color indexed="81"/>
            <rFont val="Tahoma"/>
            <family val="2"/>
          </rPr>
          <t>If these cells show #VALUE! see instructions at top left of spreadsheet.</t>
        </r>
      </text>
    </comment>
    <comment ref="CG33" authorId="0" shapeId="0">
      <text>
        <r>
          <rPr>
            <sz val="8"/>
            <color indexed="81"/>
            <rFont val="Tahoma"/>
            <family val="2"/>
          </rPr>
          <t>If these cells show #VALUE! see instructions at top left of spreadsheet.</t>
        </r>
      </text>
    </comment>
    <comment ref="DH33" authorId="0" shapeId="0">
      <text>
        <r>
          <rPr>
            <sz val="8"/>
            <color indexed="81"/>
            <rFont val="Tahoma"/>
            <family val="2"/>
          </rPr>
          <t>If these cells show #VALUE! see instructions at top left of spreadsheet.</t>
        </r>
      </text>
    </comment>
    <comment ref="BW34" authorId="2" shapeId="0">
      <text>
        <r>
          <rPr>
            <sz val="8"/>
            <color indexed="81"/>
            <rFont val="Tahoma"/>
            <family val="2"/>
          </rPr>
          <t>An unclear clinical effect with odds ratio of benefit/harm ≥66 can be deemed clear, if you want to be less conservative about harm.</t>
        </r>
      </text>
    </comment>
    <comment ref="CX34" authorId="2" shapeId="0">
      <text>
        <r>
          <rPr>
            <sz val="8"/>
            <color indexed="81"/>
            <rFont val="Tahoma"/>
            <family val="2"/>
          </rPr>
          <t>An unclear clinical effect with odds ratio of benefit/harm ≥66 can be deemed clear, if you want to be less conservative about harm.</t>
        </r>
      </text>
    </comment>
    <comment ref="DY34" authorId="2" shapeId="0">
      <text>
        <r>
          <rPr>
            <sz val="8"/>
            <color indexed="81"/>
            <rFont val="Tahoma"/>
            <family val="2"/>
          </rPr>
          <t>An unclear clinical effect with odds ratio of benefit/harm ≥66 can be deemed clear, if you want to be less conservative about harm.</t>
        </r>
      </text>
    </comment>
    <comment ref="W35" authorId="0" shapeId="0">
      <text>
        <r>
          <rPr>
            <sz val="8"/>
            <color indexed="81"/>
            <rFont val="Tahoma"/>
            <family val="2"/>
          </rPr>
          <t>via applicaton of t value to the estimate, assuming the estimate is log-normally distributed.</t>
        </r>
      </text>
    </comment>
    <comment ref="X35" authorId="0" shapeId="0">
      <text>
        <r>
          <rPr>
            <sz val="8"/>
            <color indexed="81"/>
            <rFont val="Tahoma"/>
            <family val="2"/>
          </rPr>
          <t>via applicaton of t value to the estimate, assuming the estimate is log-normally distributed.</t>
        </r>
      </text>
    </comment>
  </commentList>
</comments>
</file>

<file path=xl/comments5.xml><?xml version="1.0" encoding="utf-8"?>
<comments xmlns="http://schemas.openxmlformats.org/spreadsheetml/2006/main">
  <authors>
    <author>Will Hopkins</author>
    <author>Reviewer</author>
    <author>whopkins</author>
  </authors>
  <commentList>
    <comment ref="P3" authorId="0" shapeId="0">
      <text>
        <r>
          <rPr>
            <sz val="8"/>
            <color indexed="81"/>
            <rFont val="Tahoma"/>
            <family val="2"/>
          </rPr>
          <t>These cells are used to get  clinical inferences the right way around.</t>
        </r>
      </text>
    </comment>
    <comment ref="BA7" authorId="1" shapeId="0">
      <text>
        <r>
          <rPr>
            <sz val="8"/>
            <color indexed="81"/>
            <rFont val="Tahoma"/>
            <family val="2"/>
          </rPr>
          <t>The chance of harm has to be less than this value for an effect to be clinically beneficial.  That is, the effect can be clinically beneficial only when it is most unlikely to be harmful.</t>
        </r>
      </text>
    </comment>
    <comment ref="BC7" authorId="1" shapeId="0">
      <text>
        <r>
          <rPr>
            <sz val="8"/>
            <color indexed="81"/>
            <rFont val="Tahoma"/>
            <family val="2"/>
          </rPr>
          <t>For an effect to be mechanistically clear, the chance that the true effect is substantially positive OR the chance that the true effect is substantially negative has to be less than this value.  That is, the effect is clear when the true effect is either very unlikely to be positive or very unlikely to be negative.</t>
        </r>
      </text>
    </comment>
    <comment ref="BE7" authorId="1" shapeId="0">
      <text>
        <r>
          <rPr>
            <sz val="8"/>
            <color indexed="81"/>
            <rFont val="Tahoma"/>
            <family val="2"/>
          </rPr>
          <t>The chance of benefit has to be greater than this value for an effect to be clinically beneficial.  That is, the effect can be clinically beneficial only when it is at least possibly beneficial.</t>
        </r>
      </text>
    </comment>
    <comment ref="BF14" authorId="0" shapeId="0">
      <text>
        <r>
          <rPr>
            <sz val="8"/>
            <color indexed="81"/>
            <rFont val="Tahoma"/>
            <family val="2"/>
          </rPr>
          <t>If these cells show #VALUE! see instructions at top left of spreadsheet.</t>
        </r>
      </text>
    </comment>
    <comment ref="CG14" authorId="0" shapeId="0">
      <text>
        <r>
          <rPr>
            <sz val="8"/>
            <color indexed="81"/>
            <rFont val="Tahoma"/>
            <family val="2"/>
          </rPr>
          <t>If these cells show #VALUE! see instructions at top left of spreadsheet.</t>
        </r>
      </text>
    </comment>
    <comment ref="DH14" authorId="0" shapeId="0">
      <text>
        <r>
          <rPr>
            <sz val="8"/>
            <color indexed="81"/>
            <rFont val="Tahoma"/>
            <family val="2"/>
          </rPr>
          <t>If these cells show #VALUE! see instructions at top left of spreadsheet.</t>
        </r>
      </text>
    </comment>
    <comment ref="W16" authorId="0" shapeId="0">
      <text>
        <r>
          <rPr>
            <sz val="8"/>
            <color indexed="81"/>
            <rFont val="Tahoma"/>
            <family val="2"/>
          </rPr>
          <t>via applicaton of z
value value to the estimate, assuming the estimate is log-normally distributed.</t>
        </r>
      </text>
    </comment>
    <comment ref="X16" authorId="0" shapeId="0">
      <text>
        <r>
          <rPr>
            <sz val="8"/>
            <color indexed="81"/>
            <rFont val="Tahoma"/>
            <family val="2"/>
          </rPr>
          <t>via applicaton of z value to the estimate, assuming the estimate is log-normally distributed.</t>
        </r>
      </text>
    </comment>
    <comment ref="BF29" authorId="0" shapeId="0">
      <text>
        <r>
          <rPr>
            <sz val="8"/>
            <color indexed="81"/>
            <rFont val="Tahoma"/>
            <family val="2"/>
          </rPr>
          <t>If these cells show #VALUE! see instructions at top left of spreadsheet.</t>
        </r>
      </text>
    </comment>
    <comment ref="CG29" authorId="0" shapeId="0">
      <text>
        <r>
          <rPr>
            <sz val="8"/>
            <color indexed="81"/>
            <rFont val="Tahoma"/>
            <family val="2"/>
          </rPr>
          <t>If these cells show #VALUE! see instructions at top left of spreadsheet.</t>
        </r>
      </text>
    </comment>
    <comment ref="DH29" authorId="0" shapeId="0">
      <text>
        <r>
          <rPr>
            <sz val="8"/>
            <color indexed="81"/>
            <rFont val="Tahoma"/>
            <family val="2"/>
          </rPr>
          <t>If these cells show #VALUE! see instructions at top left of spreadsheet.</t>
        </r>
      </text>
    </comment>
    <comment ref="BW30" authorId="2" shapeId="0">
      <text>
        <r>
          <rPr>
            <sz val="8"/>
            <color indexed="81"/>
            <rFont val="Tahoma"/>
            <family val="2"/>
          </rPr>
          <t>An unclear clinical effect with odds ratio of benefit/harm ≥66 can be deemed clear, if you want to be less conservative about harm.</t>
        </r>
      </text>
    </comment>
    <comment ref="CX30" authorId="2" shapeId="0">
      <text>
        <r>
          <rPr>
            <sz val="8"/>
            <color indexed="81"/>
            <rFont val="Tahoma"/>
            <family val="2"/>
          </rPr>
          <t>An unclear clinical effect with odds ratio of benefit/harm ≥66 can be deemed clear, if you want to be less conservative about harm.</t>
        </r>
      </text>
    </comment>
    <comment ref="DY30" authorId="2" shapeId="0">
      <text>
        <r>
          <rPr>
            <sz val="8"/>
            <color indexed="81"/>
            <rFont val="Tahoma"/>
            <family val="2"/>
          </rPr>
          <t>An unclear clinical effect with odds ratio of benefit/harm ≥66 can be deemed clear, if you want to be less conservative about harm.</t>
        </r>
      </text>
    </comment>
    <comment ref="W31" authorId="0" shapeId="0">
      <text>
        <r>
          <rPr>
            <sz val="8"/>
            <color indexed="81"/>
            <rFont val="Tahoma"/>
            <family val="2"/>
          </rPr>
          <t>via applicaton of t value to the estimate, assuming the estimate is log-normally distributed.</t>
        </r>
      </text>
    </comment>
    <comment ref="X31" authorId="0" shapeId="0">
      <text>
        <r>
          <rPr>
            <sz val="8"/>
            <color indexed="81"/>
            <rFont val="Tahoma"/>
            <family val="2"/>
          </rPr>
          <t>via applicaton of t value to the estimate, assuming the estimate is log-normally distributed.</t>
        </r>
      </text>
    </comment>
    <comment ref="BF33" authorId="0" shapeId="0">
      <text>
        <r>
          <rPr>
            <sz val="8"/>
            <color indexed="81"/>
            <rFont val="Tahoma"/>
            <family val="2"/>
          </rPr>
          <t>If these cells show #VALUE! see instructions at top left of spreadsheet.</t>
        </r>
      </text>
    </comment>
    <comment ref="CG33" authorId="0" shapeId="0">
      <text>
        <r>
          <rPr>
            <sz val="8"/>
            <color indexed="81"/>
            <rFont val="Tahoma"/>
            <family val="2"/>
          </rPr>
          <t>If these cells show #VALUE! see instructions at top left of spreadsheet.</t>
        </r>
      </text>
    </comment>
    <comment ref="DH33" authorId="0" shapeId="0">
      <text>
        <r>
          <rPr>
            <sz val="8"/>
            <color indexed="81"/>
            <rFont val="Tahoma"/>
            <family val="2"/>
          </rPr>
          <t>If these cells show #VALUE! see instructions at top left of spreadsheet.</t>
        </r>
      </text>
    </comment>
    <comment ref="BW34" authorId="2" shapeId="0">
      <text>
        <r>
          <rPr>
            <sz val="8"/>
            <color indexed="81"/>
            <rFont val="Tahoma"/>
            <family val="2"/>
          </rPr>
          <t>An unclear clinical effect with odds ratio of benefit/harm ≥66 can be deemed clear, if you want to be less conservative about harm.</t>
        </r>
      </text>
    </comment>
    <comment ref="CX34" authorId="2" shapeId="0">
      <text>
        <r>
          <rPr>
            <sz val="8"/>
            <color indexed="81"/>
            <rFont val="Tahoma"/>
            <family val="2"/>
          </rPr>
          <t>An unclear clinical effect with odds ratio of benefit/harm ≥66 can be deemed clear, if you want to be less conservative about harm.</t>
        </r>
      </text>
    </comment>
    <comment ref="DY34" authorId="2" shapeId="0">
      <text>
        <r>
          <rPr>
            <sz val="8"/>
            <color indexed="81"/>
            <rFont val="Tahoma"/>
            <family val="2"/>
          </rPr>
          <t>An unclear clinical effect with odds ratio of benefit/harm ≥66 can be deemed clear, if you want to be less conservative about harm.</t>
        </r>
      </text>
    </comment>
    <comment ref="W35" authorId="0" shapeId="0">
      <text>
        <r>
          <rPr>
            <sz val="8"/>
            <color indexed="81"/>
            <rFont val="Tahoma"/>
            <family val="2"/>
          </rPr>
          <t>via applicaton of t value to the estimate, assuming the estimate is log-normally distributed.</t>
        </r>
      </text>
    </comment>
    <comment ref="X35" authorId="0" shapeId="0">
      <text>
        <r>
          <rPr>
            <sz val="8"/>
            <color indexed="81"/>
            <rFont val="Tahoma"/>
            <family val="2"/>
          </rPr>
          <t>via applicaton of t value to the estimate, assuming the estimate is log-normally distributed.</t>
        </r>
      </text>
    </comment>
  </commentList>
</comments>
</file>

<file path=xl/comments6.xml><?xml version="1.0" encoding="utf-8"?>
<comments xmlns="http://schemas.openxmlformats.org/spreadsheetml/2006/main">
  <authors>
    <author>Will Hopkins</author>
    <author>Reviewer</author>
    <author>whopkins</author>
  </authors>
  <commentList>
    <comment ref="P3" authorId="0" shapeId="0">
      <text>
        <r>
          <rPr>
            <sz val="8"/>
            <color indexed="81"/>
            <rFont val="Tahoma"/>
            <family val="2"/>
          </rPr>
          <t>These cells are used to get  clinical inferences the right way around.</t>
        </r>
      </text>
    </comment>
    <comment ref="BA7" authorId="1" shapeId="0">
      <text>
        <r>
          <rPr>
            <sz val="8"/>
            <color indexed="81"/>
            <rFont val="Tahoma"/>
            <family val="2"/>
          </rPr>
          <t>The chance of harm has to be less than this value for an effect to be clinically beneficial.  That is, the effect can be clinically beneficial only when it is most unlikely to be harmful.</t>
        </r>
      </text>
    </comment>
    <comment ref="BC7" authorId="1" shapeId="0">
      <text>
        <r>
          <rPr>
            <sz val="8"/>
            <color indexed="81"/>
            <rFont val="Tahoma"/>
            <family val="2"/>
          </rPr>
          <t>For an effect to be mechanistically clear, the chance that the true effect is substantially positive OR the chance that the true effect is substantially negative has to be less than this value.  That is, the effect is clear when the true effect is either very unlikely to be positive or very unlikely to be negative.</t>
        </r>
      </text>
    </comment>
    <comment ref="BE7" authorId="1" shapeId="0">
      <text>
        <r>
          <rPr>
            <sz val="8"/>
            <color indexed="81"/>
            <rFont val="Tahoma"/>
            <family val="2"/>
          </rPr>
          <t>The chance of benefit has to be greater than this value for an effect to be clinically beneficial.  That is, the effect can be clinically beneficial only when it is at least possibly beneficial.</t>
        </r>
      </text>
    </comment>
    <comment ref="BF14" authorId="0" shapeId="0">
      <text>
        <r>
          <rPr>
            <sz val="8"/>
            <color indexed="81"/>
            <rFont val="Tahoma"/>
            <family val="2"/>
          </rPr>
          <t>If these cells show #VALUE! see instructions at top left of spreadsheet.</t>
        </r>
      </text>
    </comment>
    <comment ref="CG14" authorId="0" shapeId="0">
      <text>
        <r>
          <rPr>
            <sz val="8"/>
            <color indexed="81"/>
            <rFont val="Tahoma"/>
            <family val="2"/>
          </rPr>
          <t>If these cells show #VALUE! see instructions at top left of spreadsheet.</t>
        </r>
      </text>
    </comment>
    <comment ref="DH14" authorId="0" shapeId="0">
      <text>
        <r>
          <rPr>
            <sz val="8"/>
            <color indexed="81"/>
            <rFont val="Tahoma"/>
            <family val="2"/>
          </rPr>
          <t>If these cells show #VALUE! see instructions at top left of spreadsheet.</t>
        </r>
      </text>
    </comment>
    <comment ref="W16" authorId="0" shapeId="0">
      <text>
        <r>
          <rPr>
            <sz val="8"/>
            <color indexed="81"/>
            <rFont val="Tahoma"/>
            <family val="2"/>
          </rPr>
          <t>via applicaton of z
value value to the estimate, assuming the estimate is log-normally distributed.</t>
        </r>
      </text>
    </comment>
    <comment ref="X16" authorId="0" shapeId="0">
      <text>
        <r>
          <rPr>
            <sz val="8"/>
            <color indexed="81"/>
            <rFont val="Tahoma"/>
            <family val="2"/>
          </rPr>
          <t>via applicaton of z value to the estimate, assuming the estimate is log-normally distributed.</t>
        </r>
      </text>
    </comment>
    <comment ref="BF29" authorId="0" shapeId="0">
      <text>
        <r>
          <rPr>
            <sz val="8"/>
            <color indexed="81"/>
            <rFont val="Tahoma"/>
            <family val="2"/>
          </rPr>
          <t>If these cells show #VALUE! see instructions at top left of spreadsheet.</t>
        </r>
      </text>
    </comment>
    <comment ref="CG29" authorId="0" shapeId="0">
      <text>
        <r>
          <rPr>
            <sz val="8"/>
            <color indexed="81"/>
            <rFont val="Tahoma"/>
            <family val="2"/>
          </rPr>
          <t>If these cells show #VALUE! see instructions at top left of spreadsheet.</t>
        </r>
      </text>
    </comment>
    <comment ref="DH29" authorId="0" shapeId="0">
      <text>
        <r>
          <rPr>
            <sz val="8"/>
            <color indexed="81"/>
            <rFont val="Tahoma"/>
            <family val="2"/>
          </rPr>
          <t>If these cells show #VALUE! see instructions at top left of spreadsheet.</t>
        </r>
      </text>
    </comment>
    <comment ref="BW30" authorId="2" shapeId="0">
      <text>
        <r>
          <rPr>
            <sz val="8"/>
            <color indexed="81"/>
            <rFont val="Tahoma"/>
            <family val="2"/>
          </rPr>
          <t>An unclear clinical effect with odds ratio of benefit/harm ≥66 can be deemed clear, if you want to be less conservative about harm.</t>
        </r>
      </text>
    </comment>
    <comment ref="CX30" authorId="2" shapeId="0">
      <text>
        <r>
          <rPr>
            <sz val="8"/>
            <color indexed="81"/>
            <rFont val="Tahoma"/>
            <family val="2"/>
          </rPr>
          <t>An unclear clinical effect with odds ratio of benefit/harm ≥66 can be deemed clear, if you want to be less conservative about harm.</t>
        </r>
      </text>
    </comment>
    <comment ref="DY30" authorId="2" shapeId="0">
      <text>
        <r>
          <rPr>
            <sz val="8"/>
            <color indexed="81"/>
            <rFont val="Tahoma"/>
            <family val="2"/>
          </rPr>
          <t>An unclear clinical effect with odds ratio of benefit/harm ≥66 can be deemed clear, if you want to be less conservative about harm.</t>
        </r>
      </text>
    </comment>
    <comment ref="W31" authorId="0" shapeId="0">
      <text>
        <r>
          <rPr>
            <sz val="8"/>
            <color indexed="81"/>
            <rFont val="Tahoma"/>
            <family val="2"/>
          </rPr>
          <t>via applicaton of t value to the estimate, assuming the estimate is log-normally distributed.</t>
        </r>
      </text>
    </comment>
    <comment ref="X31" authorId="0" shapeId="0">
      <text>
        <r>
          <rPr>
            <sz val="8"/>
            <color indexed="81"/>
            <rFont val="Tahoma"/>
            <family val="2"/>
          </rPr>
          <t>via applicaton of t value to the estimate, assuming the estimate is log-normally distributed.</t>
        </r>
      </text>
    </comment>
    <comment ref="BF33" authorId="0" shapeId="0">
      <text>
        <r>
          <rPr>
            <sz val="8"/>
            <color indexed="81"/>
            <rFont val="Tahoma"/>
            <family val="2"/>
          </rPr>
          <t>If these cells show #VALUE! see instructions at top left of spreadsheet.</t>
        </r>
      </text>
    </comment>
    <comment ref="CG33" authorId="0" shapeId="0">
      <text>
        <r>
          <rPr>
            <sz val="8"/>
            <color indexed="81"/>
            <rFont val="Tahoma"/>
            <family val="2"/>
          </rPr>
          <t>If these cells show #VALUE! see instructions at top left of spreadsheet.</t>
        </r>
      </text>
    </comment>
    <comment ref="DH33" authorId="0" shapeId="0">
      <text>
        <r>
          <rPr>
            <sz val="8"/>
            <color indexed="81"/>
            <rFont val="Tahoma"/>
            <family val="2"/>
          </rPr>
          <t>If these cells show #VALUE! see instructions at top left of spreadsheet.</t>
        </r>
      </text>
    </comment>
    <comment ref="BW34" authorId="2" shapeId="0">
      <text>
        <r>
          <rPr>
            <sz val="8"/>
            <color indexed="81"/>
            <rFont val="Tahoma"/>
            <family val="2"/>
          </rPr>
          <t>An unclear clinical effect with odds ratio of benefit/harm ≥66 can be deemed clear, if you want to be less conservative about harm.</t>
        </r>
      </text>
    </comment>
    <comment ref="CX34" authorId="2" shapeId="0">
      <text>
        <r>
          <rPr>
            <sz val="8"/>
            <color indexed="81"/>
            <rFont val="Tahoma"/>
            <family val="2"/>
          </rPr>
          <t>An unclear clinical effect with odds ratio of benefit/harm ≥66 can be deemed clear, if you want to be less conservative about harm.</t>
        </r>
      </text>
    </comment>
    <comment ref="DY34" authorId="2" shapeId="0">
      <text>
        <r>
          <rPr>
            <sz val="8"/>
            <color indexed="81"/>
            <rFont val="Tahoma"/>
            <family val="2"/>
          </rPr>
          <t>An unclear clinical effect with odds ratio of benefit/harm ≥66 can be deemed clear, if you want to be less conservative about harm.</t>
        </r>
      </text>
    </comment>
    <comment ref="W35" authorId="0" shapeId="0">
      <text>
        <r>
          <rPr>
            <sz val="8"/>
            <color indexed="81"/>
            <rFont val="Tahoma"/>
            <family val="2"/>
          </rPr>
          <t>via applicaton of t value to the estimate, assuming the estimate is log-normally distributed.</t>
        </r>
      </text>
    </comment>
    <comment ref="X35" authorId="0" shapeId="0">
      <text>
        <r>
          <rPr>
            <sz val="8"/>
            <color indexed="81"/>
            <rFont val="Tahoma"/>
            <family val="2"/>
          </rPr>
          <t>via applicaton of t value to the estimate, assuming the estimate is log-normally distributed.</t>
        </r>
      </text>
    </comment>
    <comment ref="BF37" authorId="0" shapeId="0">
      <text>
        <r>
          <rPr>
            <sz val="8"/>
            <color indexed="81"/>
            <rFont val="Tahoma"/>
            <family val="2"/>
          </rPr>
          <t>If these cells show #VALUE! see instructions at top left of spreadsheet.</t>
        </r>
      </text>
    </comment>
    <comment ref="CG37" authorId="0" shapeId="0">
      <text>
        <r>
          <rPr>
            <sz val="8"/>
            <color indexed="81"/>
            <rFont val="Tahoma"/>
            <family val="2"/>
          </rPr>
          <t>If these cells show #VALUE! see instructions at top left of spreadsheet.</t>
        </r>
      </text>
    </comment>
    <comment ref="DH37" authorId="0" shapeId="0">
      <text>
        <r>
          <rPr>
            <sz val="8"/>
            <color indexed="81"/>
            <rFont val="Tahoma"/>
            <family val="2"/>
          </rPr>
          <t>If these cells show #VALUE! see instructions at top left of spreadsheet.</t>
        </r>
      </text>
    </comment>
    <comment ref="BW38" authorId="2" shapeId="0">
      <text>
        <r>
          <rPr>
            <sz val="8"/>
            <color indexed="81"/>
            <rFont val="Tahoma"/>
            <family val="2"/>
          </rPr>
          <t>An unclear clinical effect with odds ratio of benefit/harm ≥66 can be deemed clear, if you want to be less conservative about harm.</t>
        </r>
      </text>
    </comment>
    <comment ref="CX38" authorId="2" shapeId="0">
      <text>
        <r>
          <rPr>
            <sz val="8"/>
            <color indexed="81"/>
            <rFont val="Tahoma"/>
            <family val="2"/>
          </rPr>
          <t>An unclear clinical effect with odds ratio of benefit/harm ≥66 can be deemed clear, if you want to be less conservative about harm.</t>
        </r>
      </text>
    </comment>
    <comment ref="DY38" authorId="2" shapeId="0">
      <text>
        <r>
          <rPr>
            <sz val="8"/>
            <color indexed="81"/>
            <rFont val="Tahoma"/>
            <family val="2"/>
          </rPr>
          <t>An unclear clinical effect with odds ratio of benefit/harm ≥66 can be deemed clear, if you want to be less conservative about harm.</t>
        </r>
      </text>
    </comment>
    <comment ref="W39" authorId="0" shapeId="0">
      <text>
        <r>
          <rPr>
            <sz val="8"/>
            <color indexed="81"/>
            <rFont val="Tahoma"/>
            <family val="2"/>
          </rPr>
          <t>via applicaton of t value to the estimate, assuming the estimate is log-normally distributed.</t>
        </r>
      </text>
    </comment>
    <comment ref="X39" authorId="0" shapeId="0">
      <text>
        <r>
          <rPr>
            <sz val="8"/>
            <color indexed="81"/>
            <rFont val="Tahoma"/>
            <family val="2"/>
          </rPr>
          <t>via applicaton of t value to the estimate, assuming the estimate is log-normally distributed.</t>
        </r>
      </text>
    </comment>
    <comment ref="BF41" authorId="0" shapeId="0">
      <text>
        <r>
          <rPr>
            <sz val="8"/>
            <color indexed="81"/>
            <rFont val="Tahoma"/>
            <family val="2"/>
          </rPr>
          <t>If these cells show #VALUE! see instructions at top left of spreadsheet.</t>
        </r>
      </text>
    </comment>
    <comment ref="CG41" authorId="0" shapeId="0">
      <text>
        <r>
          <rPr>
            <sz val="8"/>
            <color indexed="81"/>
            <rFont val="Tahoma"/>
            <family val="2"/>
          </rPr>
          <t>If these cells show #VALUE! see instructions at top left of spreadsheet.</t>
        </r>
      </text>
    </comment>
    <comment ref="DH41" authorId="0" shapeId="0">
      <text>
        <r>
          <rPr>
            <sz val="8"/>
            <color indexed="81"/>
            <rFont val="Tahoma"/>
            <family val="2"/>
          </rPr>
          <t>If these cells show #VALUE! see instructions at top left of spreadsheet.</t>
        </r>
      </text>
    </comment>
    <comment ref="BW42" authorId="2" shapeId="0">
      <text>
        <r>
          <rPr>
            <sz val="8"/>
            <color indexed="81"/>
            <rFont val="Tahoma"/>
            <family val="2"/>
          </rPr>
          <t>An unclear clinical effect with odds ratio of benefit/harm ≥66 can be deemed clear, if you want to be less conservative about harm.</t>
        </r>
      </text>
    </comment>
    <comment ref="CX42" authorId="2" shapeId="0">
      <text>
        <r>
          <rPr>
            <sz val="8"/>
            <color indexed="81"/>
            <rFont val="Tahoma"/>
            <family val="2"/>
          </rPr>
          <t>An unclear clinical effect with odds ratio of benefit/harm ≥66 can be deemed clear, if you want to be less conservative about harm.</t>
        </r>
      </text>
    </comment>
    <comment ref="DY42" authorId="2" shapeId="0">
      <text>
        <r>
          <rPr>
            <sz val="8"/>
            <color indexed="81"/>
            <rFont val="Tahoma"/>
            <family val="2"/>
          </rPr>
          <t>An unclear clinical effect with odds ratio of benefit/harm ≥66 can be deemed clear, if you want to be less conservative about harm.</t>
        </r>
      </text>
    </comment>
    <comment ref="W43" authorId="0" shapeId="0">
      <text>
        <r>
          <rPr>
            <sz val="8"/>
            <color indexed="81"/>
            <rFont val="Tahoma"/>
            <family val="2"/>
          </rPr>
          <t>via applicaton of t value to the estimate, assuming the estimate is log-normally distributed.</t>
        </r>
      </text>
    </comment>
    <comment ref="X43" authorId="0" shapeId="0">
      <text>
        <r>
          <rPr>
            <sz val="8"/>
            <color indexed="81"/>
            <rFont val="Tahoma"/>
            <family val="2"/>
          </rPr>
          <t>via applicaton of t value to the estimate, assuming the estimate is log-normally distributed.</t>
        </r>
      </text>
    </comment>
    <comment ref="BF45" authorId="0" shapeId="0">
      <text>
        <r>
          <rPr>
            <sz val="8"/>
            <color indexed="81"/>
            <rFont val="Tahoma"/>
            <family val="2"/>
          </rPr>
          <t>If these cells show #VALUE! see instructions at top left of spreadsheet.</t>
        </r>
      </text>
    </comment>
    <comment ref="CG45" authorId="0" shapeId="0">
      <text>
        <r>
          <rPr>
            <sz val="8"/>
            <color indexed="81"/>
            <rFont val="Tahoma"/>
            <family val="2"/>
          </rPr>
          <t>If these cells show #VALUE! see instructions at top left of spreadsheet.</t>
        </r>
      </text>
    </comment>
    <comment ref="DH45" authorId="0" shapeId="0">
      <text>
        <r>
          <rPr>
            <sz val="8"/>
            <color indexed="81"/>
            <rFont val="Tahoma"/>
            <family val="2"/>
          </rPr>
          <t>If these cells show #VALUE! see instructions at top left of spreadsheet.</t>
        </r>
      </text>
    </comment>
    <comment ref="BW46" authorId="2" shapeId="0">
      <text>
        <r>
          <rPr>
            <sz val="8"/>
            <color indexed="81"/>
            <rFont val="Tahoma"/>
            <family val="2"/>
          </rPr>
          <t>An unclear clinical effect with odds ratio of benefit/harm ≥66 can be deemed clear, if you want to be less conservative about harm.</t>
        </r>
      </text>
    </comment>
    <comment ref="CX46" authorId="2" shapeId="0">
      <text>
        <r>
          <rPr>
            <sz val="8"/>
            <color indexed="81"/>
            <rFont val="Tahoma"/>
            <family val="2"/>
          </rPr>
          <t>An unclear clinical effect with odds ratio of benefit/harm ≥66 can be deemed clear, if you want to be less conservative about harm.</t>
        </r>
      </text>
    </comment>
    <comment ref="DY46" authorId="2" shapeId="0">
      <text>
        <r>
          <rPr>
            <sz val="8"/>
            <color indexed="81"/>
            <rFont val="Tahoma"/>
            <family val="2"/>
          </rPr>
          <t>An unclear clinical effect with odds ratio of benefit/harm ≥66 can be deemed clear, if you want to be less conservative about harm.</t>
        </r>
      </text>
    </comment>
    <comment ref="W47" authorId="0" shapeId="0">
      <text>
        <r>
          <rPr>
            <sz val="8"/>
            <color indexed="81"/>
            <rFont val="Tahoma"/>
            <family val="2"/>
          </rPr>
          <t>via applicaton of t value to the estimate, assuming the estimate is log-normally distributed.</t>
        </r>
      </text>
    </comment>
    <comment ref="X47" authorId="0" shapeId="0">
      <text>
        <r>
          <rPr>
            <sz val="8"/>
            <color indexed="81"/>
            <rFont val="Tahoma"/>
            <family val="2"/>
          </rPr>
          <t>via applicaton of t value to the estimate, assuming the estimate is log-normally distributed.</t>
        </r>
      </text>
    </comment>
  </commentList>
</comments>
</file>

<file path=xl/sharedStrings.xml><?xml version="1.0" encoding="utf-8"?>
<sst xmlns="http://schemas.openxmlformats.org/spreadsheetml/2006/main" count="4078" uniqueCount="268">
  <si>
    <t>Cov Parm</t>
  </si>
  <si>
    <t>Subject</t>
  </si>
  <si>
    <t>Estimate</t>
  </si>
  <si>
    <t>Standard</t>
  </si>
  <si>
    <t>Error</t>
  </si>
  <si>
    <t>Z Value</t>
  </si>
  <si>
    <t>Wald 90% Confidence Bounds</t>
  </si>
  <si>
    <t>Intercept</t>
  </si>
  <si>
    <t>AthleteID</t>
  </si>
  <si>
    <t>GameID</t>
  </si>
  <si>
    <t>Residual (VC)</t>
  </si>
  <si>
    <t>&lt;.0001</t>
  </si>
  <si>
    <t>Lower</t>
  </si>
  <si>
    <t>Upper</t>
  </si>
  <si>
    <t>small</t>
  </si>
  <si>
    <t>large</t>
  </si>
  <si>
    <t>Solution for Random Effects</t>
  </si>
  <si>
    <t>Effect</t>
  </si>
  <si>
    <t>Std Err Pred</t>
  </si>
  <si>
    <t>DF</t>
  </si>
  <si>
    <t>t Value</t>
  </si>
  <si>
    <t>Pr &gt; |t|</t>
  </si>
  <si>
    <t>Alpha</t>
  </si>
  <si>
    <t>AthleteID 2</t>
  </si>
  <si>
    <t>AthleteID 4</t>
  </si>
  <si>
    <t>AthleteID 5</t>
  </si>
  <si>
    <t>AthleteID 6</t>
  </si>
  <si>
    <t>AthleteID 7</t>
  </si>
  <si>
    <t>AthleteID 13</t>
  </si>
  <si>
    <t>AthleteID 14</t>
  </si>
  <si>
    <t>AthleteID 16</t>
  </si>
  <si>
    <t>AthleteID 18</t>
  </si>
  <si>
    <t>AthleteID 19</t>
  </si>
  <si>
    <t>AthleteID 20</t>
  </si>
  <si>
    <t>AthleteID 22</t>
  </si>
  <si>
    <t>AthleteID 23</t>
  </si>
  <si>
    <t>AthleteID 24</t>
  </si>
  <si>
    <t>Pr Z</t>
  </si>
  <si>
    <t>Estimates</t>
  </si>
  <si>
    <t>Label</t>
  </si>
  <si>
    <t>Exponentiated</t>
  </si>
  <si>
    <t>Mean @ Week 1</t>
  </si>
  <si>
    <t>Mean @ Week 6</t>
  </si>
  <si>
    <t>Mean @ -1SD MTPf</t>
  </si>
  <si>
    <t>Mean @ +1SD MTPf</t>
  </si>
  <si>
    <t>PROPORTIONS FORWARDS</t>
  </si>
  <si>
    <t>AthleteID 1</t>
  </si>
  <si>
    <t>AthleteID 3</t>
  </si>
  <si>
    <t>AthleteID 8</t>
  </si>
  <si>
    <t>AthleteID 10</t>
  </si>
  <si>
    <t>AthleteID 11</t>
  </si>
  <si>
    <t>AthleteID 12</t>
  </si>
  <si>
    <t>AthleteID 15</t>
  </si>
  <si>
    <t>AthleteID 17</t>
  </si>
  <si>
    <t>AthleteID 21</t>
  </si>
  <si>
    <t>AthleteID 25</t>
  </si>
  <si>
    <t>Standard deviations as odds ratios</t>
  </si>
  <si>
    <t>COUNTS FORWARDS</t>
  </si>
  <si>
    <t>Mean</t>
  </si>
  <si>
    <t>Covariance Parameter Estimates</t>
  </si>
  <si>
    <t>small+</t>
  </si>
  <si>
    <t>small-</t>
  </si>
  <si>
    <t>moderate</t>
  </si>
  <si>
    <t>Observed between-player SD in percent units</t>
  </si>
  <si>
    <t>.</t>
  </si>
  <si>
    <t>COUNTS FORWARDS &amp; BACKS</t>
  </si>
  <si>
    <t>Observed between-player SD as log odds ratio</t>
  </si>
  <si>
    <t>Observed between-player SD as an odds factor</t>
  </si>
  <si>
    <t>Observed between-player SD as approx. proportion factor</t>
  </si>
  <si>
    <t>Observed between-player SD in approx. percent units</t>
  </si>
  <si>
    <t>Observed between-player SD in approx. proportion units</t>
  </si>
  <si>
    <t>Observed between-player SD in approx. proportion (%) units</t>
  </si>
  <si>
    <t>Means as proportions</t>
  </si>
  <si>
    <t>Overdispersed sampling variance of log of reference odds</t>
  </si>
  <si>
    <t>Overdispersed sampling variance of log of reference count</t>
  </si>
  <si>
    <t>Btwn SD</t>
  </si>
  <si>
    <t>Overdispersion factor</t>
  </si>
  <si>
    <t>Pure between-player variance</t>
  </si>
  <si>
    <t>Check that this cell points to Intercept in the covariance parameters.</t>
  </si>
  <si>
    <t>Check that this cell points to Residual (VC) in the covariance parameters.</t>
  </si>
  <si>
    <t>Week 6/Week 1</t>
  </si>
  <si>
    <t>MTPf +1SD/-1SD</t>
  </si>
  <si>
    <t>Standard deviations as ln(odds ratios)</t>
  </si>
  <si>
    <t>for stdzing</t>
  </si>
  <si>
    <t>proportion</t>
  </si>
  <si>
    <t>Reference</t>
  </si>
  <si>
    <t>Estimates as ln(odds ratio)</t>
  </si>
  <si>
    <t>Estimates as proportion ratio</t>
  </si>
  <si>
    <t xml:space="preserve">Percentile score &amp; approx. CLs </t>
  </si>
  <si>
    <t>Illustration of calculation of observed between-player SD for standardized magnitude thresholds</t>
  </si>
  <si>
    <t>Mean proportion as reference</t>
  </si>
  <si>
    <t>Report this value if you report the mean as a proportion.</t>
  </si>
  <si>
    <t>Report this value if you report the mean as a proportion (%).</t>
  </si>
  <si>
    <t>Conversion of random-effect solution for the subjects into percentile scores.</t>
  </si>
  <si>
    <t>The confifence limits are approximate, because they do not allow for uncertainty in the pure between-subject SD.</t>
  </si>
  <si>
    <t>Don't forget to change this for a new group!</t>
  </si>
  <si>
    <t>Estimates as count ratio</t>
  </si>
  <si>
    <t>Estimates as ln(count ratio)</t>
  </si>
  <si>
    <t>Mean count as reference</t>
  </si>
  <si>
    <t>Observed between-player SD as log count ratio</t>
  </si>
  <si>
    <t>Observed between-player SD as a count factor</t>
  </si>
  <si>
    <r>
      <t xml:space="preserve">Report this value as a </t>
    </r>
    <r>
      <rPr>
        <sz val="11"/>
        <color rgb="FFCC0000"/>
        <rFont val="Symbol"/>
        <family val="1"/>
        <charset val="2"/>
      </rPr>
      <t>´/¸</t>
    </r>
    <r>
      <rPr>
        <sz val="10"/>
        <color rgb="FFCC0000"/>
        <rFont val="Calibri"/>
        <family val="2"/>
      </rPr>
      <t xml:space="preserve"> factor</t>
    </r>
  </si>
  <si>
    <t>Do not report values; use for full MBI with count ratio</t>
  </si>
  <si>
    <t>Report the ratio and CLs</t>
  </si>
  <si>
    <t>Mean proportion (%)</t>
  </si>
  <si>
    <t>Standard deviations as proportion ratios</t>
  </si>
  <si>
    <t>Standard deviations as Ln(odds ratios)</t>
  </si>
  <si>
    <t>Standard deviations as ln(count ratios)</t>
  </si>
  <si>
    <t>decrease</t>
  </si>
  <si>
    <t>increase</t>
  </si>
  <si>
    <t>v.large</t>
  </si>
  <si>
    <t>x.large</t>
  </si>
  <si>
    <t>Magnitude thresholds for SDs as count ratios</t>
  </si>
  <si>
    <t>Magnitude thresholds for estimates as count ratios</t>
  </si>
  <si>
    <t>Magnitude thresholds for estimates in standardized units</t>
  </si>
  <si>
    <t>Magnitude thresholds for SDs in standardized units</t>
  </si>
  <si>
    <t>using the true between-subject SD</t>
  </si>
  <si>
    <t>using the observed between-subject SD</t>
  </si>
  <si>
    <t>Magnitude thresholds for SDs in percent units</t>
  </si>
  <si>
    <t>Estimates in percent units</t>
  </si>
  <si>
    <t>Magnitude thresholds for estimates in percent units</t>
  </si>
  <si>
    <t>Report the estimate and CLs</t>
  </si>
  <si>
    <t xml:space="preserve"> If you use standardization, report the observed between-player SD as a factor or percent.</t>
  </si>
  <si>
    <t>COUNTS BACKS</t>
  </si>
  <si>
    <t>Mean Fwds&amp;Backs</t>
  </si>
  <si>
    <t>Mean Backs</t>
  </si>
  <si>
    <t>Mean Fwds</t>
  </si>
  <si>
    <t>Mean Fwds/Backs</t>
  </si>
  <si>
    <t>Backs:</t>
  </si>
  <si>
    <t>Fwds:</t>
  </si>
  <si>
    <t>Mean Backs+Fwds reference</t>
  </si>
  <si>
    <t>blank</t>
  </si>
  <si>
    <t>Magnitude thresholds for SDs as proportion ratios</t>
  </si>
  <si>
    <t>Magnitude thresholds for estimates as proportion ratios</t>
  </si>
  <si>
    <t>Backs/Fwds:</t>
  </si>
  <si>
    <t>Report the proportion ratios with CLs also for magnitudes via stdization,</t>
  </si>
  <si>
    <t>PROPORTIONS FORWARDS &amp; BACKS</t>
  </si>
  <si>
    <t>Z value</t>
  </si>
  <si>
    <t>±CL</t>
  </si>
  <si>
    <t>or ±CL</t>
  </si>
  <si>
    <t>Report either the lower and upper CLs or the ±CL.</t>
  </si>
  <si>
    <r>
      <t xml:space="preserve">or </t>
    </r>
    <r>
      <rPr>
        <sz val="11"/>
        <color rgb="FFCC0000"/>
        <rFont val="Symbol"/>
        <family val="1"/>
        <charset val="2"/>
      </rPr>
      <t>´/¸</t>
    </r>
    <r>
      <rPr>
        <sz val="11"/>
        <color rgb="FFCC0000"/>
        <rFont val="Calibri"/>
        <family val="2"/>
      </rPr>
      <t>CL</t>
    </r>
  </si>
  <si>
    <t>The means below are odds; the others are odds ratios.</t>
  </si>
  <si>
    <t>most unlikely</t>
  </si>
  <si>
    <t>very unlikely</t>
  </si>
  <si>
    <t>unlikely</t>
  </si>
  <si>
    <t>possibly</t>
  </si>
  <si>
    <t>likely</t>
  </si>
  <si>
    <t>very likely</t>
  </si>
  <si>
    <t>most likely</t>
  </si>
  <si>
    <t>Chances that the true value of the effect statistic is…</t>
  </si>
  <si>
    <t>Value of effect</t>
  </si>
  <si>
    <t>Deg. of freedom</t>
  </si>
  <si>
    <t>Confidence limits</t>
  </si>
  <si>
    <t>Conf. level (%)</t>
  </si>
  <si>
    <t>Inference</t>
  </si>
  <si>
    <t>...negligible or
trivial</t>
  </si>
  <si>
    <t>Odds ratio benefit/harm</t>
  </si>
  <si>
    <t>lower</t>
  </si>
  <si>
    <t>upper</t>
  </si>
  <si>
    <t>given</t>
  </si>
  <si>
    <t>wanted</t>
  </si>
  <si>
    <t xml:space="preserve">lower </t>
  </si>
  <si>
    <t xml:space="preserve">upper </t>
  </si>
  <si>
    <t>Clinical</t>
  </si>
  <si>
    <t>Non-clinical</t>
  </si>
  <si>
    <t>%</t>
  </si>
  <si>
    <t>SE</t>
  </si>
  <si>
    <r>
      <rPr>
        <sz val="10"/>
        <rFont val="Symbol"/>
        <family val="1"/>
        <charset val="2"/>
      </rPr>
      <t>´/¸</t>
    </r>
    <r>
      <rPr>
        <sz val="9"/>
        <rFont val="Arial"/>
        <family val="2"/>
      </rPr>
      <t>CL</t>
    </r>
  </si>
  <si>
    <t>Inference for magnitude defined by standardization</t>
  </si>
  <si>
    <t>Inference for magnitudes defined by proportion ratios</t>
  </si>
  <si>
    <t>benefit or</t>
  </si>
  <si>
    <t>harm or</t>
  </si>
  <si>
    <t>Inference for win/lose analysis</t>
  </si>
  <si>
    <t>Effect, confidence limits &amp; inference for proportion ratios</t>
  </si>
  <si>
    <t>Value of ratio</t>
  </si>
  <si>
    <t>For clinical or practical inferences</t>
  </si>
  <si>
    <t>an increase</t>
  </si>
  <si>
    <t>a decrease</t>
  </si>
  <si>
    <t>Benefit is</t>
  </si>
  <si>
    <r>
      <t>Effect, confidence limits &amp; inference</t>
    </r>
    <r>
      <rPr>
        <sz val="10"/>
        <rFont val="Arial"/>
        <family val="2"/>
      </rPr>
      <t xml:space="preserve"> (show inference only, not these standardized effects)</t>
    </r>
  </si>
  <si>
    <t>Report the values of the estimates and CLs,</t>
  </si>
  <si>
    <t>which are extra matches won per 10 close matches.</t>
  </si>
  <si>
    <t>Magnitude thresholds for extra matches won</t>
  </si>
  <si>
    <t>Report difference and CLs only for analysis of matches won.</t>
  </si>
  <si>
    <t>Report SDs and CLs only for analysis of matches won.</t>
  </si>
  <si>
    <t>Do not report estimates and CLs of these</t>
  </si>
  <si>
    <t>These columns are for magnitudes via proportion ratios.</t>
  </si>
  <si>
    <t>These columns are for magnitudes via standardization.</t>
  </si>
  <si>
    <t>These columns are for analyses of matches won.</t>
  </si>
  <si>
    <t>They show estimates and CLs of Ln(odds ratios).</t>
  </si>
  <si>
    <t>Do not report these values.</t>
  </si>
  <si>
    <t>These columns are for deriving magnitudes via standardization.</t>
  </si>
  <si>
    <t>Do not report these values. They are for MBI.</t>
  </si>
  <si>
    <t>Estimates in standardized units</t>
  </si>
  <si>
    <t>Report ratio and CLs, but not for analysis of wins.</t>
  </si>
  <si>
    <t>Magnitude thresholds for SDs as extra matches won</t>
  </si>
  <si>
    <t>SDs as extra matches won</t>
  </si>
  <si>
    <t>Estimates as extra matches won</t>
  </si>
  <si>
    <t>Effect, confidence limits &amp; inference for extra matches per 10 close matches</t>
  </si>
  <si>
    <t>but do not report proportion ratios for analysis of wins.</t>
  </si>
  <si>
    <t>If you have more covparms, insert row(s) above this row before pasting the data from SAS Studio.</t>
  </si>
  <si>
    <t>with the observed mean proportion as the reference (which is used for assessing SDs).</t>
  </si>
  <si>
    <t xml:space="preserve"> If you use standardization, report the observed between-player SD as a proportion.</t>
  </si>
  <si>
    <t>not relevant for SDs</t>
  </si>
  <si>
    <t>If you have no GameID or other covparm with your data, delete this row before pasting the data from SAS Studio.</t>
  </si>
  <si>
    <t>count for SDs</t>
  </si>
  <si>
    <t>These cells are used to derive magnitude-based inferences.</t>
  </si>
  <si>
    <t>Thresholds for</t>
  </si>
  <si>
    <r>
      <t xml:space="preserve">They were adapted from the spreadsheet </t>
    </r>
    <r>
      <rPr>
        <b/>
        <sz val="11"/>
        <color rgb="FFCC0000"/>
        <rFont val="Calibri"/>
        <family val="2"/>
        <scheme val="minor"/>
      </rPr>
      <t>Combine/compare effects</t>
    </r>
    <r>
      <rPr>
        <sz val="11"/>
        <color rgb="FFCC0000"/>
        <rFont val="Calibri"/>
        <family val="2"/>
        <scheme val="minor"/>
      </rPr>
      <t xml:space="preserve"> at Sportscience.</t>
    </r>
  </si>
  <si>
    <t>Inference for magnitudes defined by count ratios</t>
  </si>
  <si>
    <t>Effect, confidence limits &amp; inference for count ratios</t>
  </si>
  <si>
    <t>Standard deviations as Ln(count ratios)</t>
  </si>
  <si>
    <t>Standard deviations in standardized units</t>
  </si>
  <si>
    <t>standardized Ln(odds ratios). They are used for</t>
  </si>
  <si>
    <t>magnitude-based inference (MBI).</t>
  </si>
  <si>
    <t>standardized Ln(count ratios). They are used for</t>
  </si>
  <si>
    <t>They show estimates and CLs of Ln(count ratios).</t>
  </si>
  <si>
    <t>These columns convert count ratios to percent differences.</t>
  </si>
  <si>
    <t>The re-estimated CLs and MBI are based on assumption of a normal distribution of standardized SD, with standard error derived from the lower and upper CLs.</t>
  </si>
  <si>
    <t>The re-estimated CLs may differ somewhat from the original CLs, which are based on assumption of a normal sampling distribution for the variances (if negative variance was permitted).</t>
  </si>
  <si>
    <t>The re-estimated CLs and MBI are based on assumption of log-normal distribution of SD, with standard error derived from the lower and upper CLs.</t>
  </si>
  <si>
    <t>~±CL</t>
  </si>
  <si>
    <t xml:space="preserve">~lower </t>
  </si>
  <si>
    <t xml:space="preserve">~upper </t>
  </si>
  <si>
    <r>
      <rPr>
        <sz val="10"/>
        <rFont val="Symbol"/>
        <family val="1"/>
        <charset val="2"/>
      </rPr>
      <t>~´/¸</t>
    </r>
    <r>
      <rPr>
        <sz val="9"/>
        <rFont val="Arial"/>
        <family val="2"/>
      </rPr>
      <t>CL</t>
    </r>
  </si>
  <si>
    <r>
      <t xml:space="preserve">Report either the lower and upper CLs or the </t>
    </r>
    <r>
      <rPr>
        <sz val="11"/>
        <color rgb="FFCC0000"/>
        <rFont val="Symbol"/>
        <family val="1"/>
        <charset val="2"/>
      </rPr>
      <t>~´/</t>
    </r>
    <r>
      <rPr>
        <sz val="9.35"/>
        <color rgb="FFCC0000"/>
        <rFont val="Symbol"/>
        <family val="1"/>
        <charset val="2"/>
      </rPr>
      <t>¸</t>
    </r>
    <r>
      <rPr>
        <sz val="11"/>
        <color rgb="FFCC0000"/>
        <rFont val="Calibri"/>
        <family val="2"/>
        <scheme val="minor"/>
      </rPr>
      <t>CL.</t>
    </r>
  </si>
  <si>
    <r>
      <t xml:space="preserve">Report either the lower and upper CLs or the </t>
    </r>
    <r>
      <rPr>
        <sz val="11"/>
        <color rgb="FFCC0000"/>
        <rFont val="Symbol"/>
        <family val="1"/>
        <charset val="2"/>
      </rPr>
      <t>~</t>
    </r>
    <r>
      <rPr>
        <sz val="11"/>
        <color rgb="FFCC0000"/>
        <rFont val="Calibri"/>
        <family val="2"/>
        <scheme val="minor"/>
      </rPr>
      <t>±CL.</t>
    </r>
  </si>
  <si>
    <t>Use ratios or standardized values for MBI.</t>
  </si>
  <si>
    <r>
      <rPr>
        <sz val="11"/>
        <color rgb="FFCC0000"/>
        <rFont val="Calibri"/>
        <family val="2"/>
        <scheme val="minor"/>
      </rPr>
      <t xml:space="preserve">or </t>
    </r>
    <r>
      <rPr>
        <sz val="11"/>
        <color rgb="FFCC0000"/>
        <rFont val="Symbol"/>
        <family val="1"/>
        <charset val="2"/>
      </rPr>
      <t>~´/¸</t>
    </r>
    <r>
      <rPr>
        <sz val="11"/>
        <color rgb="FFCC0000"/>
        <rFont val="Calibri"/>
        <family val="2"/>
      </rPr>
      <t>CL</t>
    </r>
  </si>
  <si>
    <r>
      <t xml:space="preserve">or </t>
    </r>
    <r>
      <rPr>
        <sz val="11"/>
        <color rgb="FFCC0000"/>
        <rFont val="Symbol"/>
        <family val="1"/>
        <charset val="2"/>
      </rPr>
      <t>~</t>
    </r>
    <r>
      <rPr>
        <sz val="11"/>
        <color rgb="FFCC0000"/>
        <rFont val="Calibri"/>
        <family val="2"/>
        <scheme val="minor"/>
      </rPr>
      <t>±CL</t>
    </r>
  </si>
  <si>
    <r>
      <t xml:space="preserve">or </t>
    </r>
    <r>
      <rPr>
        <sz val="11"/>
        <color rgb="FFCC0000"/>
        <rFont val="Symbol"/>
        <family val="1"/>
        <charset val="2"/>
      </rPr>
      <t>~´/¸</t>
    </r>
    <r>
      <rPr>
        <sz val="11"/>
        <color rgb="FFCC0000"/>
        <rFont val="Calibri"/>
        <family val="2"/>
      </rPr>
      <t>CL</t>
    </r>
  </si>
  <si>
    <t>~lower</t>
  </si>
  <si>
    <t>~upper</t>
  </si>
  <si>
    <t>Paste data from your analyses into this spreadsheet. Insert or delete rows first, if the number of fixed and/or random effects differ from those here.</t>
  </si>
  <si>
    <r>
      <t xml:space="preserve">is beneficial.  </t>
    </r>
    <r>
      <rPr>
        <b/>
        <sz val="11"/>
        <color rgb="FFCC0000"/>
        <rFont val="Calibri"/>
        <family val="2"/>
        <scheme val="minor"/>
      </rPr>
      <t>Delete one.</t>
    </r>
    <r>
      <rPr>
        <sz val="11"/>
        <color rgb="FFCC0000"/>
        <rFont val="Calibri"/>
        <family val="2"/>
        <scheme val="minor"/>
      </rPr>
      <t xml:space="preserve"> For non-clinical or mechanistic inferences, delete either.</t>
    </r>
  </si>
  <si>
    <t>Magnitude-based inferences (MBIs) appear much further over on the right.</t>
  </si>
  <si>
    <t>Standard deviations in percent units</t>
  </si>
  <si>
    <t>Standard deviations as count ratios</t>
  </si>
  <si>
    <r>
      <t>Use when percent SDs and effecta are &lt;</t>
    </r>
    <r>
      <rPr>
        <sz val="11"/>
        <color rgb="FFCC0000"/>
        <rFont val="Symbol"/>
        <family val="1"/>
        <charset val="2"/>
      </rPr>
      <t>~</t>
    </r>
    <r>
      <rPr>
        <sz val="11"/>
        <color rgb="FFCC0000"/>
        <rFont val="Calibri"/>
        <family val="2"/>
        <scheme val="minor"/>
      </rPr>
      <t>25%.</t>
    </r>
  </si>
  <si>
    <r>
      <t>or this value as a ± percent for values &lt;</t>
    </r>
    <r>
      <rPr>
        <sz val="11"/>
        <color rgb="FFCC0000"/>
        <rFont val="Symbol"/>
        <family val="1"/>
        <charset val="2"/>
      </rPr>
      <t>~</t>
    </r>
    <r>
      <rPr>
        <sz val="11"/>
        <color rgb="FFCC0000"/>
        <rFont val="Calibri"/>
        <family val="2"/>
        <scheme val="minor"/>
      </rPr>
      <t>25%.</t>
    </r>
  </si>
  <si>
    <r>
      <rPr>
        <sz val="11"/>
        <color rgb="FFCC0000"/>
        <rFont val="Symbol"/>
        <family val="1"/>
        <charset val="2"/>
      </rPr>
      <t>= Ö(</t>
    </r>
    <r>
      <rPr>
        <sz val="11"/>
        <color rgb="FFCC0000"/>
        <rFont val="Calibri"/>
        <family val="2"/>
        <scheme val="minor"/>
      </rPr>
      <t>Athlete ID variance + overdispersed sampling variance); used for magnitude thresholds.</t>
    </r>
  </si>
  <si>
    <r>
      <t xml:space="preserve">= Overdispersion factor </t>
    </r>
    <r>
      <rPr>
        <sz val="11"/>
        <color rgb="FFCC0000"/>
        <rFont val="Symbol"/>
        <family val="1"/>
        <charset val="2"/>
      </rPr>
      <t>´</t>
    </r>
    <r>
      <rPr>
        <sz val="11"/>
        <color rgb="FFCC0000"/>
        <rFont val="Calibri"/>
        <family val="2"/>
      </rPr>
      <t xml:space="preserve"> (1/count); from statistical first principles.</t>
    </r>
  </si>
  <si>
    <r>
      <t xml:space="preserve">= Overdispersion factor </t>
    </r>
    <r>
      <rPr>
        <sz val="11"/>
        <color rgb="FFCC0000"/>
        <rFont val="Symbol"/>
        <family val="1"/>
        <charset val="2"/>
      </rPr>
      <t>´</t>
    </r>
    <r>
      <rPr>
        <sz val="11"/>
        <color rgb="FFCC0000"/>
        <rFont val="Calibri"/>
        <family val="2"/>
      </rPr>
      <t xml:space="preserve"> (1/events + 1/non-events); from statistical first principles.</t>
    </r>
  </si>
  <si>
    <r>
      <rPr>
        <sz val="11"/>
        <color rgb="FFCC0000"/>
        <rFont val="Symbol"/>
        <family val="1"/>
        <charset val="2"/>
      </rPr>
      <t>= Ö(</t>
    </r>
    <r>
      <rPr>
        <sz val="11"/>
        <color rgb="FFCC0000"/>
        <rFont val="Calibri"/>
        <family val="2"/>
        <scheme val="minor"/>
      </rPr>
      <t>Athlete ID variance + overdispersed sampling variance); for magnitude thresholds.</t>
    </r>
  </si>
  <si>
    <r>
      <t xml:space="preserve">is beneficial.  </t>
    </r>
    <r>
      <rPr>
        <b/>
        <sz val="11"/>
        <color rgb="FFCC0000"/>
        <rFont val="Calibri"/>
        <family val="2"/>
        <scheme val="minor"/>
      </rPr>
      <t>Delete one</t>
    </r>
    <r>
      <rPr>
        <sz val="11"/>
        <color rgb="FFCC0000"/>
        <rFont val="Calibri"/>
        <family val="2"/>
        <scheme val="minor"/>
      </rPr>
      <t>. For non-clinical or mechanistic inferences, delete either.</t>
    </r>
  </si>
  <si>
    <t>The proportion used below is hallf a pure SD below this value.</t>
  </si>
  <si>
    <t>The count used below is half a pure SD below this value.</t>
  </si>
  <si>
    <t>The means below are counts; the others are count ratios.</t>
  </si>
  <si>
    <t>Mean counts</t>
  </si>
  <si>
    <t>If you have more covparms, copy the above row and insert it in this row.</t>
  </si>
  <si>
    <t>PROPORTIONS BACKS</t>
  </si>
  <si>
    <t>If you have more estimates, copy the above four rows and insert copied cells.  Repeat if necessary.</t>
  </si>
  <si>
    <t>Observed between-subject SD are for a player who completed a full game.  For other players, insert percent of game completed here (no % sign):</t>
  </si>
  <si>
    <r>
      <t>using the observed mean count as the reference</t>
    </r>
    <r>
      <rPr>
        <sz val="11"/>
        <color rgb="FFCC0000"/>
        <rFont val="Calibri"/>
        <family val="2"/>
        <scheme val="minor"/>
      </rPr>
      <t xml:space="preserve"> (for players who completed the chosen percent of a full game).</t>
    </r>
  </si>
  <si>
    <t>To perform inferences, enter here the mean number of "trials" (total rucks) for this group</t>
  </si>
  <si>
    <t xml:space="preserve"> for a full game or for the mean time players were on the field:</t>
  </si>
  <si>
    <t>Then paste in the data from SAS.</t>
  </si>
  <si>
    <r>
      <rPr>
        <sz val="9"/>
        <rFont val="Symbol"/>
        <family val="1"/>
        <charset val="2"/>
      </rPr>
      <t>~</t>
    </r>
    <r>
      <rPr>
        <sz val="9"/>
        <rFont val="Arial"/>
        <family val="2"/>
      </rPr>
      <t>lower</t>
    </r>
  </si>
  <si>
    <r>
      <rPr>
        <sz val="9"/>
        <rFont val="Symbol"/>
        <family val="1"/>
        <charset val="2"/>
      </rPr>
      <t>~</t>
    </r>
    <r>
      <rPr>
        <sz val="9"/>
        <rFont val="Arial"/>
        <family val="2"/>
      </rPr>
      <t>upper</t>
    </r>
  </si>
  <si>
    <r>
      <rPr>
        <sz val="11"/>
        <color rgb="FFCC0000"/>
        <rFont val="Symbol"/>
        <family val="1"/>
        <charset val="2"/>
      </rPr>
      <t>~</t>
    </r>
    <r>
      <rPr>
        <sz val="11"/>
        <color rgb="FFCC0000"/>
        <rFont val="Calibri"/>
        <family val="2"/>
        <scheme val="minor"/>
      </rPr>
      <t>Lower</t>
    </r>
  </si>
  <si>
    <r>
      <rPr>
        <sz val="11"/>
        <color rgb="FFCC0000"/>
        <rFont val="Symbol"/>
        <family val="1"/>
        <charset val="2"/>
      </rPr>
      <t>~</t>
    </r>
    <r>
      <rPr>
        <sz val="11"/>
        <color rgb="FFCC0000"/>
        <rFont val="Calibri"/>
        <family val="2"/>
        <scheme val="minor"/>
      </rPr>
      <t>Upper</t>
    </r>
  </si>
  <si>
    <r>
      <rPr>
        <sz val="10"/>
        <rFont val="Symbol"/>
        <family val="1"/>
        <charset val="2"/>
      </rPr>
      <t>~</t>
    </r>
    <r>
      <rPr>
        <sz val="10"/>
        <rFont val="Arial"/>
        <family val="2"/>
      </rPr>
      <t>lower</t>
    </r>
  </si>
  <si>
    <r>
      <rPr>
        <sz val="10"/>
        <rFont val="Symbol"/>
        <family val="1"/>
        <charset val="2"/>
      </rPr>
      <t>~</t>
    </r>
    <r>
      <rPr>
        <sz val="10"/>
        <rFont val="Arial"/>
        <family val="2"/>
      </rPr>
      <t>upper</t>
    </r>
  </si>
  <si>
    <t>The re-estimated CLs and MBI are based on assumption of a log-normal distribution of the extra-match SD expressed as an odds ratio, with standard error derived from the lower and upper CLs.</t>
  </si>
  <si>
    <t>The proportion used below is half a pure SD below this value.</t>
  </si>
  <si>
    <t>= (proportion "half" an SD above the mean)/(proportion "half" an SD below the mean)</t>
  </si>
  <si>
    <t>= (proportion "half" an SD above the mean)-(proportion "half" an SD below the mean). Report this value if you report the mean as a proportion.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</si>
</sst>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38" x14ac:knownFonts="1">
    <font>
      <sz val="11"/>
      <color theme="1"/>
      <name val="Calibri"/>
      <family val="2"/>
      <scheme val="minor"/>
    </font>
    <font>
      <b/>
      <sz val="11"/>
      <color theme="1"/>
      <name val="Calibri"/>
      <family val="2"/>
      <scheme val="minor"/>
    </font>
    <font>
      <b/>
      <sz val="11"/>
      <color rgb="FFCC0000"/>
      <name val="Calibri"/>
      <family val="2"/>
      <scheme val="minor"/>
    </font>
    <font>
      <sz val="11"/>
      <color rgb="FFCC0000"/>
      <name val="Calibri"/>
      <family val="2"/>
      <scheme val="minor"/>
    </font>
    <font>
      <sz val="11"/>
      <color rgb="FFC00000"/>
      <name val="Calibri"/>
      <family val="2"/>
      <scheme val="minor"/>
    </font>
    <font>
      <b/>
      <sz val="11"/>
      <color rgb="FFC00000"/>
      <name val="Calibri"/>
      <family val="2"/>
      <scheme val="minor"/>
    </font>
    <font>
      <sz val="11"/>
      <color rgb="FFCC0000"/>
      <name val="Symbol"/>
      <family val="1"/>
      <charset val="2"/>
    </font>
    <font>
      <sz val="11"/>
      <color rgb="FFCC0000"/>
      <name val="Calibri"/>
      <family val="2"/>
    </font>
    <font>
      <sz val="11"/>
      <name val="Calibri"/>
      <family val="2"/>
      <scheme val="minor"/>
    </font>
    <font>
      <b/>
      <sz val="11"/>
      <color rgb="FF0000FF"/>
      <name val="Calibri"/>
      <family val="2"/>
      <scheme val="minor"/>
    </font>
    <font>
      <b/>
      <sz val="11"/>
      <color rgb="FFCC00CC"/>
      <name val="Calibri"/>
      <family val="2"/>
      <scheme val="minor"/>
    </font>
    <font>
      <sz val="10"/>
      <color rgb="FFCC0000"/>
      <name val="Calibri"/>
      <family val="2"/>
    </font>
    <font>
      <b/>
      <sz val="11"/>
      <name val="Calibri"/>
      <family val="2"/>
      <scheme val="minor"/>
    </font>
    <font>
      <b/>
      <sz val="10"/>
      <color theme="1"/>
      <name val="Calibri"/>
      <family val="2"/>
      <scheme val="minor"/>
    </font>
    <font>
      <sz val="8"/>
      <color indexed="81"/>
      <name val="Tahoma"/>
      <family val="2"/>
    </font>
    <font>
      <sz val="9.35"/>
      <color rgb="FFCC0000"/>
      <name val="Symbol"/>
      <family val="1"/>
      <charset val="2"/>
    </font>
    <font>
      <sz val="10"/>
      <name val="Arial"/>
      <family val="2"/>
    </font>
    <font>
      <sz val="9"/>
      <name val="Arial"/>
      <family val="2"/>
    </font>
    <font>
      <b/>
      <sz val="10"/>
      <color indexed="12"/>
      <name val="Arial"/>
      <family val="2"/>
    </font>
    <font>
      <sz val="10"/>
      <color indexed="61"/>
      <name val="Arial"/>
      <family val="2"/>
    </font>
    <font>
      <b/>
      <sz val="10"/>
      <name val="Arial"/>
      <family val="2"/>
    </font>
    <font>
      <sz val="10"/>
      <color indexed="20"/>
      <name val="Arial"/>
      <family val="2"/>
    </font>
    <font>
      <sz val="10"/>
      <color indexed="63"/>
      <name val="Arial"/>
      <family val="2"/>
    </font>
    <font>
      <sz val="10"/>
      <color indexed="18"/>
      <name val="Arial"/>
      <family val="2"/>
    </font>
    <font>
      <b/>
      <sz val="10"/>
      <color indexed="61"/>
      <name val="Arial"/>
      <family val="2"/>
    </font>
    <font>
      <b/>
      <sz val="10"/>
      <color indexed="10"/>
      <name val="Arial"/>
      <family val="2"/>
    </font>
    <font>
      <sz val="8"/>
      <color indexed="10"/>
      <name val="Arial"/>
      <family val="2"/>
    </font>
    <font>
      <sz val="10"/>
      <color indexed="10"/>
      <name val="Arial"/>
      <family val="2"/>
    </font>
    <font>
      <sz val="8"/>
      <color indexed="23"/>
      <name val="Arial"/>
      <family val="2"/>
    </font>
    <font>
      <sz val="10"/>
      <color indexed="23"/>
      <name val="Arial"/>
      <family val="2"/>
    </font>
    <font>
      <b/>
      <sz val="11"/>
      <name val="Arial"/>
      <family val="2"/>
    </font>
    <font>
      <sz val="10"/>
      <name val="Symbol"/>
      <family val="1"/>
      <charset val="2"/>
    </font>
    <font>
      <b/>
      <sz val="10"/>
      <color rgb="FFCC0000"/>
      <name val="Arial"/>
      <family val="2"/>
    </font>
    <font>
      <sz val="10"/>
      <color rgb="FFCC0000"/>
      <name val="Arial"/>
      <family val="2"/>
    </font>
    <font>
      <b/>
      <sz val="8"/>
      <color indexed="10"/>
      <name val="Arial"/>
      <family val="2"/>
    </font>
    <font>
      <sz val="10"/>
      <color rgb="FFCC0000"/>
      <name val="Calibri"/>
      <family val="2"/>
      <scheme val="minor"/>
    </font>
    <font>
      <b/>
      <sz val="11"/>
      <color rgb="FF0000FF"/>
      <name val="Symbol"/>
      <family val="1"/>
      <charset val="2"/>
    </font>
    <font>
      <sz val="9"/>
      <name val="Symbol"/>
      <family val="1"/>
      <charset val="2"/>
    </font>
  </fonts>
  <fills count="7">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rgb="FFFFFF99"/>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318">
    <xf numFmtId="0" fontId="0" fillId="0" borderId="0" xfId="0"/>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2" fontId="3" fillId="0" borderId="0" xfId="0" applyNumberFormat="1" applyFont="1" applyAlignment="1">
      <alignment horizontal="center"/>
    </xf>
    <xf numFmtId="0" fontId="3" fillId="0" borderId="0" xfId="0" applyFont="1"/>
    <xf numFmtId="0" fontId="2" fillId="0" borderId="0" xfId="0" applyFont="1"/>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right"/>
    </xf>
    <xf numFmtId="164" fontId="3" fillId="0" borderId="0" xfId="0" applyNumberFormat="1" applyFont="1" applyAlignment="1">
      <alignment horizontal="center"/>
    </xf>
    <xf numFmtId="1" fontId="3" fillId="0" borderId="0" xfId="0" applyNumberFormat="1" applyFont="1" applyAlignment="1">
      <alignment horizontal="center"/>
    </xf>
    <xf numFmtId="0" fontId="0" fillId="0" borderId="0" xfId="0" applyAlignment="1">
      <alignment vertical="center"/>
    </xf>
    <xf numFmtId="0" fontId="2" fillId="0" borderId="0" xfId="0" applyFont="1" applyAlignment="1">
      <alignment horizontal="left" vertical="center"/>
    </xf>
    <xf numFmtId="2" fontId="0" fillId="0" borderId="0" xfId="0" applyNumberFormat="1" applyAlignment="1">
      <alignment horizontal="center"/>
    </xf>
    <xf numFmtId="0" fontId="5" fillId="0" borderId="0" xfId="0" applyFont="1"/>
    <xf numFmtId="0" fontId="1" fillId="0" borderId="0" xfId="0" applyFont="1" applyAlignment="1">
      <alignment horizontal="right" vertical="center"/>
    </xf>
    <xf numFmtId="0" fontId="5" fillId="0" borderId="0" xfId="0" applyFont="1" applyAlignment="1">
      <alignment horizontal="center"/>
    </xf>
    <xf numFmtId="2" fontId="4" fillId="0" borderId="0" xfId="0" applyNumberFormat="1" applyFont="1" applyAlignment="1">
      <alignment horizontal="left"/>
    </xf>
    <xf numFmtId="0" fontId="1" fillId="0" borderId="0" xfId="0" applyFont="1" applyAlignment="1">
      <alignment horizontal="center" vertical="center" wrapText="1"/>
    </xf>
    <xf numFmtId="0" fontId="1" fillId="0" borderId="0" xfId="0" applyFont="1"/>
    <xf numFmtId="0" fontId="1" fillId="0" borderId="0" xfId="0" applyFont="1" applyAlignment="1">
      <alignment horizontal="center" vertical="center" wrapText="1"/>
    </xf>
    <xf numFmtId="0" fontId="0" fillId="0" borderId="0" xfId="0" applyAlignment="1"/>
    <xf numFmtId="0" fontId="1" fillId="0" borderId="0" xfId="0" applyFont="1" applyAlignment="1">
      <alignment horizontal="center" vertical="center"/>
    </xf>
    <xf numFmtId="0" fontId="2" fillId="0" borderId="0" xfId="0" applyFont="1" applyAlignment="1">
      <alignment horizontal="right"/>
    </xf>
    <xf numFmtId="0" fontId="1" fillId="0" borderId="0" xfId="0" applyFont="1" applyAlignment="1">
      <alignment horizontal="right" vertical="center"/>
    </xf>
    <xf numFmtId="0" fontId="2" fillId="0" borderId="0" xfId="0" applyFont="1" applyAlignment="1">
      <alignment horizontal="right" vertical="center"/>
    </xf>
    <xf numFmtId="0" fontId="3" fillId="0" borderId="0" xfId="0" applyFont="1" applyAlignment="1">
      <alignment horizontal="right" vertical="center"/>
    </xf>
    <xf numFmtId="0" fontId="0" fillId="0" borderId="0" xfId="0" applyAlignment="1">
      <alignment horizontal="right"/>
    </xf>
    <xf numFmtId="0" fontId="0" fillId="0" borderId="0" xfId="0" applyAlignment="1">
      <alignment horizontal="center"/>
    </xf>
    <xf numFmtId="0" fontId="0" fillId="0" borderId="0" xfId="0" applyAlignment="1">
      <alignment horizontal="right" vertical="center" wrapText="1"/>
    </xf>
    <xf numFmtId="0" fontId="0" fillId="0" borderId="0" xfId="0" applyFill="1" applyAlignment="1">
      <alignment horizontal="right" vertical="center" wrapText="1"/>
    </xf>
    <xf numFmtId="2" fontId="4" fillId="0" borderId="0" xfId="0" applyNumberFormat="1" applyFont="1" applyFill="1" applyAlignment="1">
      <alignment horizontal="center"/>
    </xf>
    <xf numFmtId="0" fontId="1" fillId="0" borderId="0" xfId="0" applyFont="1" applyAlignment="1">
      <alignment horizontal="center"/>
    </xf>
    <xf numFmtId="2" fontId="8" fillId="0" borderId="0" xfId="0" applyNumberFormat="1" applyFont="1" applyAlignment="1">
      <alignment horizontal="center"/>
    </xf>
    <xf numFmtId="2" fontId="9" fillId="0" borderId="0" xfId="0" applyNumberFormat="1" applyFont="1" applyAlignment="1">
      <alignment horizontal="center"/>
    </xf>
    <xf numFmtId="0" fontId="0" fillId="0" borderId="0" xfId="0" applyFont="1" applyAlignment="1">
      <alignment horizontal="center" vertical="center" wrapText="1"/>
    </xf>
    <xf numFmtId="2" fontId="10" fillId="0" borderId="0" xfId="0" applyNumberFormat="1" applyFont="1" applyAlignment="1">
      <alignment horizontal="center"/>
    </xf>
    <xf numFmtId="1" fontId="9" fillId="0" borderId="0" xfId="0" applyNumberFormat="1" applyFont="1" applyAlignment="1">
      <alignment horizontal="center"/>
    </xf>
    <xf numFmtId="1" fontId="10" fillId="0" borderId="0" xfId="0" applyNumberFormat="1" applyFont="1" applyAlignment="1">
      <alignment horizontal="center"/>
    </xf>
    <xf numFmtId="0" fontId="0" fillId="0" borderId="0" xfId="0" applyFont="1" applyAlignment="1">
      <alignment horizontal="right" vertical="center"/>
    </xf>
    <xf numFmtId="0" fontId="0" fillId="0" borderId="0" xfId="0" applyFill="1" applyAlignment="1">
      <alignment vertical="center" wrapText="1"/>
    </xf>
    <xf numFmtId="0" fontId="8" fillId="0" borderId="0" xfId="0" applyFont="1"/>
    <xf numFmtId="0" fontId="0" fillId="0" borderId="1" xfId="0" applyBorder="1"/>
    <xf numFmtId="0" fontId="1" fillId="0" borderId="0" xfId="0" applyFont="1" applyAlignment="1">
      <alignment horizontal="right" vertical="center"/>
    </xf>
    <xf numFmtId="0" fontId="3" fillId="0" borderId="0" xfId="0" applyFont="1" applyAlignment="1">
      <alignment horizontal="left" vertical="center"/>
    </xf>
    <xf numFmtId="2" fontId="3" fillId="0" borderId="0" xfId="0" applyNumberFormat="1" applyFont="1" applyFill="1" applyAlignment="1">
      <alignment horizontal="center"/>
    </xf>
    <xf numFmtId="0" fontId="3" fillId="0" borderId="1" xfId="0" applyFont="1" applyBorder="1"/>
    <xf numFmtId="2" fontId="2" fillId="0" borderId="0" xfId="0" applyNumberFormat="1" applyFont="1" applyAlignment="1">
      <alignment horizontal="center"/>
    </xf>
    <xf numFmtId="1" fontId="2" fillId="0" borderId="0" xfId="0" applyNumberFormat="1" applyFont="1" applyAlignment="1">
      <alignment horizontal="center"/>
    </xf>
    <xf numFmtId="164" fontId="2" fillId="0" borderId="0" xfId="0" applyNumberFormat="1" applyFont="1" applyAlignment="1">
      <alignment horizontal="center"/>
    </xf>
    <xf numFmtId="2" fontId="3" fillId="0" borderId="0" xfId="0" applyNumberFormat="1" applyFont="1" applyAlignment="1">
      <alignment horizontal="left"/>
    </xf>
    <xf numFmtId="2" fontId="2" fillId="0" borderId="0" xfId="0" applyNumberFormat="1" applyFont="1" applyFill="1" applyAlignment="1">
      <alignment horizontal="center"/>
    </xf>
    <xf numFmtId="0" fontId="0" fillId="0" borderId="0" xfId="0" applyFont="1"/>
    <xf numFmtId="0" fontId="3" fillId="0" borderId="1" xfId="0" applyFont="1" applyBorder="1" applyAlignment="1">
      <alignment horizontal="center"/>
    </xf>
    <xf numFmtId="0" fontId="3" fillId="0" borderId="0" xfId="0" applyFont="1" applyBorder="1"/>
    <xf numFmtId="0" fontId="2" fillId="0" borderId="0" xfId="0" applyFont="1" applyBorder="1" applyAlignment="1">
      <alignment horizontal="center"/>
    </xf>
    <xf numFmtId="0" fontId="0" fillId="0" borderId="0" xfId="0" applyBorder="1"/>
    <xf numFmtId="2" fontId="3" fillId="0" borderId="0" xfId="0" applyNumberFormat="1" applyFont="1" applyBorder="1" applyAlignment="1">
      <alignment horizontal="center"/>
    </xf>
    <xf numFmtId="0" fontId="3" fillId="0" borderId="0" xfId="0" applyFont="1" applyBorder="1"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wrapText="1"/>
    </xf>
    <xf numFmtId="0" fontId="1" fillId="0" borderId="0" xfId="0" applyFont="1" applyBorder="1" applyAlignment="1">
      <alignment horizontal="right"/>
    </xf>
    <xf numFmtId="0" fontId="1" fillId="0" borderId="1" xfId="0" applyFont="1" applyBorder="1"/>
    <xf numFmtId="0" fontId="2" fillId="0" borderId="1" xfId="0" applyFont="1" applyBorder="1" applyAlignment="1">
      <alignment horizontal="right" vertical="center"/>
    </xf>
    <xf numFmtId="1" fontId="0" fillId="0" borderId="0" xfId="0" applyNumberFormat="1"/>
    <xf numFmtId="1" fontId="1" fillId="0" borderId="0" xfId="0" applyNumberFormat="1" applyFont="1" applyAlignment="1">
      <alignment horizontal="center"/>
    </xf>
    <xf numFmtId="1" fontId="3" fillId="0" borderId="0" xfId="0" applyNumberFormat="1" applyFont="1"/>
    <xf numFmtId="1" fontId="0" fillId="0" borderId="0" xfId="0" applyNumberFormat="1" applyAlignment="1">
      <alignment horizontal="center"/>
    </xf>
    <xf numFmtId="1" fontId="3" fillId="0" borderId="1" xfId="0" applyNumberFormat="1" applyFont="1" applyBorder="1" applyAlignment="1">
      <alignment horizontal="center" vertical="center" wrapText="1"/>
    </xf>
    <xf numFmtId="0" fontId="2" fillId="0" borderId="0" xfId="0" applyFont="1" applyAlignment="1">
      <alignment horizontal="left"/>
    </xf>
    <xf numFmtId="0" fontId="3" fillId="0" borderId="0" xfId="0" applyFont="1" applyBorder="1" applyAlignment="1">
      <alignment horizontal="right"/>
    </xf>
    <xf numFmtId="0" fontId="13" fillId="0" borderId="0" xfId="0" applyFont="1" applyAlignment="1">
      <alignment horizontal="center" vertical="center" wrapText="1"/>
    </xf>
    <xf numFmtId="164" fontId="9" fillId="2" borderId="2" xfId="0" applyNumberFormat="1" applyFont="1" applyFill="1" applyBorder="1" applyAlignment="1">
      <alignment horizontal="center"/>
    </xf>
    <xf numFmtId="0" fontId="1" fillId="0" borderId="0" xfId="0" applyFont="1" applyAlignment="1">
      <alignment horizontal="center" vertical="center"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16"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6" fillId="3" borderId="3" xfId="0" applyFont="1" applyFill="1" applyBorder="1" applyAlignment="1">
      <alignment horizontal="center"/>
    </xf>
    <xf numFmtId="0" fontId="16" fillId="3" borderId="3" xfId="0" applyFont="1" applyFill="1" applyBorder="1" applyAlignment="1">
      <alignment horizontal="centerContinuous"/>
    </xf>
    <xf numFmtId="0" fontId="16" fillId="3" borderId="4" xfId="0" applyFont="1" applyFill="1" applyBorder="1" applyAlignment="1">
      <alignment horizontal="centerContinuous"/>
    </xf>
    <xf numFmtId="0" fontId="16" fillId="3" borderId="5" xfId="0" applyFont="1" applyFill="1" applyBorder="1" applyAlignment="1">
      <alignment horizontal="centerContinuous"/>
    </xf>
    <xf numFmtId="0" fontId="17" fillId="3" borderId="3" xfId="0" applyFont="1" applyFill="1" applyBorder="1" applyAlignment="1">
      <alignment horizontal="center" wrapText="1"/>
    </xf>
    <xf numFmtId="0" fontId="17" fillId="3" borderId="4" xfId="0" applyFont="1" applyFill="1" applyBorder="1" applyAlignment="1">
      <alignment horizontal="center" wrapText="1"/>
    </xf>
    <xf numFmtId="0" fontId="17" fillId="3" borderId="5" xfId="0" applyFont="1" applyFill="1" applyBorder="1" applyAlignment="1">
      <alignment horizontal="center" wrapText="1"/>
    </xf>
    <xf numFmtId="0" fontId="17" fillId="3" borderId="2" xfId="0" applyFont="1" applyFill="1" applyBorder="1" applyAlignment="1">
      <alignment horizontal="center" wrapText="1"/>
    </xf>
    <xf numFmtId="0" fontId="21" fillId="3" borderId="11" xfId="0" applyFont="1" applyFill="1" applyBorder="1" applyAlignment="1">
      <alignment horizontal="center"/>
    </xf>
    <xf numFmtId="0" fontId="23" fillId="3" borderId="11" xfId="0" applyFont="1" applyFill="1" applyBorder="1" applyAlignment="1">
      <alignment horizontal="center"/>
    </xf>
    <xf numFmtId="0" fontId="16" fillId="3" borderId="2" xfId="0" applyFont="1" applyFill="1" applyBorder="1" applyAlignment="1">
      <alignment horizontal="center"/>
    </xf>
    <xf numFmtId="0" fontId="16" fillId="3" borderId="11" xfId="0" applyFont="1" applyFill="1" applyBorder="1" applyAlignment="1">
      <alignment horizontal="center"/>
    </xf>
    <xf numFmtId="0" fontId="17" fillId="3" borderId="11" xfId="0" applyFont="1" applyFill="1" applyBorder="1" applyAlignment="1">
      <alignment horizontal="center" wrapText="1"/>
    </xf>
    <xf numFmtId="0" fontId="28" fillId="0" borderId="2" xfId="0" applyFont="1" applyBorder="1" applyAlignment="1">
      <alignment horizontal="centerContinuous"/>
    </xf>
    <xf numFmtId="0" fontId="28" fillId="0" borderId="2" xfId="0" applyFont="1" applyBorder="1" applyAlignment="1">
      <alignment horizontal="center"/>
    </xf>
    <xf numFmtId="164" fontId="25" fillId="5" borderId="3" xfId="0" applyNumberFormat="1" applyFont="1" applyFill="1" applyBorder="1" applyAlignment="1">
      <alignment horizontal="right" vertical="center"/>
    </xf>
    <xf numFmtId="164" fontId="25" fillId="5" borderId="4" xfId="0" applyNumberFormat="1" applyFont="1" applyFill="1" applyBorder="1" applyAlignment="1">
      <alignment horizontal="left" vertical="center"/>
    </xf>
    <xf numFmtId="1" fontId="26" fillId="5" borderId="5" xfId="0" applyNumberFormat="1" applyFont="1" applyFill="1" applyBorder="1" applyAlignment="1">
      <alignment vertical="center"/>
    </xf>
    <xf numFmtId="164" fontId="25" fillId="5" borderId="4" xfId="0" applyNumberFormat="1" applyFont="1" applyFill="1" applyBorder="1" applyAlignment="1">
      <alignment horizontal="right" vertical="center"/>
    </xf>
    <xf numFmtId="0" fontId="24" fillId="4" borderId="2" xfId="0" applyNumberFormat="1" applyFont="1" applyFill="1" applyBorder="1" applyAlignment="1">
      <alignment horizontal="center" vertical="center"/>
    </xf>
    <xf numFmtId="2" fontId="25" fillId="5" borderId="2" xfId="0" applyNumberFormat="1" applyFont="1" applyFill="1" applyBorder="1" applyAlignment="1">
      <alignment horizontal="center" vertical="center"/>
    </xf>
    <xf numFmtId="164" fontId="25" fillId="5" borderId="2" xfId="0" applyNumberFormat="1" applyFont="1" applyFill="1" applyBorder="1" applyAlignment="1">
      <alignment horizontal="center" vertical="center"/>
    </xf>
    <xf numFmtId="164" fontId="29" fillId="0" borderId="2" xfId="0" applyNumberFormat="1" applyFont="1" applyBorder="1" applyAlignment="1">
      <alignment horizontal="center" vertical="center"/>
    </xf>
    <xf numFmtId="0" fontId="21" fillId="3" borderId="6" xfId="0" applyFont="1" applyFill="1" applyBorder="1" applyAlignment="1">
      <alignment horizontal="center" wrapText="1"/>
    </xf>
    <xf numFmtId="0" fontId="23" fillId="3" borderId="6" xfId="0" applyFont="1" applyFill="1" applyBorder="1" applyAlignment="1">
      <alignment horizontal="center" wrapText="1"/>
    </xf>
    <xf numFmtId="2" fontId="32" fillId="4" borderId="2" xfId="0" applyNumberFormat="1" applyFont="1" applyFill="1" applyBorder="1" applyAlignment="1">
      <alignment horizontal="center" vertical="center"/>
    </xf>
    <xf numFmtId="0" fontId="33" fillId="4" borderId="2" xfId="0" applyNumberFormat="1" applyFont="1" applyFill="1" applyBorder="1" applyAlignment="1">
      <alignment horizontal="center" vertical="center"/>
    </xf>
    <xf numFmtId="0" fontId="32" fillId="4" borderId="2" xfId="0" applyNumberFormat="1" applyFont="1" applyFill="1" applyBorder="1" applyAlignment="1">
      <alignment horizontal="center" vertical="center"/>
    </xf>
    <xf numFmtId="2" fontId="33" fillId="4" borderId="2" xfId="0" applyNumberFormat="1" applyFont="1" applyFill="1" applyBorder="1" applyAlignment="1">
      <alignment horizontal="center" vertical="center"/>
    </xf>
    <xf numFmtId="164" fontId="27" fillId="5" borderId="3" xfId="0" applyNumberFormat="1" applyFont="1" applyFill="1" applyBorder="1" applyAlignment="1">
      <alignment horizontal="right" vertical="center"/>
    </xf>
    <xf numFmtId="164" fontId="27" fillId="5" borderId="4" xfId="0" applyNumberFormat="1" applyFont="1" applyFill="1" applyBorder="1" applyAlignment="1">
      <alignment horizontal="left" vertical="center"/>
    </xf>
    <xf numFmtId="164" fontId="27" fillId="5" borderId="4" xfId="0" applyNumberFormat="1" applyFont="1" applyFill="1" applyBorder="1" applyAlignment="1">
      <alignment horizontal="right" vertical="center"/>
    </xf>
    <xf numFmtId="1" fontId="27" fillId="2" borderId="5" xfId="0" applyNumberFormat="1" applyFont="1" applyFill="1" applyBorder="1" applyAlignment="1">
      <alignment horizontal="center" vertical="center"/>
    </xf>
    <xf numFmtId="164" fontId="32" fillId="4" borderId="2" xfId="0" applyNumberFormat="1" applyFont="1" applyFill="1" applyBorder="1" applyAlignment="1">
      <alignment horizontal="center" vertical="center"/>
    </xf>
    <xf numFmtId="2" fontId="27" fillId="5" borderId="2" xfId="0" applyNumberFormat="1" applyFont="1" applyFill="1" applyBorder="1" applyAlignment="1">
      <alignment horizontal="center" vertical="center"/>
    </xf>
    <xf numFmtId="0" fontId="34" fillId="5" borderId="2" xfId="0" applyFont="1" applyFill="1" applyBorder="1" applyAlignment="1">
      <alignment horizontal="center" vertical="center"/>
    </xf>
    <xf numFmtId="164" fontId="0" fillId="0" borderId="0" xfId="0" applyNumberFormat="1" applyAlignment="1">
      <alignment horizontal="right"/>
    </xf>
    <xf numFmtId="0" fontId="35" fillId="0" borderId="0" xfId="0" applyFont="1" applyBorder="1" applyAlignment="1">
      <alignment horizontal="center"/>
    </xf>
    <xf numFmtId="0" fontId="3" fillId="0" borderId="0" xfId="0" applyFont="1" applyAlignment="1">
      <alignment vertical="center"/>
    </xf>
    <xf numFmtId="0" fontId="35" fillId="0" borderId="0" xfId="0" applyFont="1"/>
    <xf numFmtId="0" fontId="17" fillId="0" borderId="5" xfId="0" applyFont="1" applyFill="1" applyBorder="1" applyAlignment="1">
      <alignment horizontal="center" vertical="center" wrapText="1"/>
    </xf>
    <xf numFmtId="0" fontId="2" fillId="0" borderId="1" xfId="0" applyFont="1" applyBorder="1"/>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0" fontId="35" fillId="0" borderId="1" xfId="0" applyFont="1" applyBorder="1" applyAlignment="1">
      <alignment horizontal="right"/>
    </xf>
    <xf numFmtId="0" fontId="35" fillId="0" borderId="1" xfId="0" applyFont="1" applyBorder="1" applyAlignment="1">
      <alignment horizontal="left"/>
    </xf>
    <xf numFmtId="0" fontId="4" fillId="0" borderId="0" xfId="0" applyFont="1"/>
    <xf numFmtId="0" fontId="35" fillId="0" borderId="0" xfId="0" applyFont="1" applyAlignment="1">
      <alignment vertical="center"/>
    </xf>
    <xf numFmtId="0" fontId="3" fillId="0" borderId="0" xfId="0" quotePrefix="1" applyFont="1"/>
    <xf numFmtId="165" fontId="2" fillId="0" borderId="0" xfId="0" applyNumberFormat="1" applyFont="1" applyAlignment="1">
      <alignment horizontal="center"/>
    </xf>
    <xf numFmtId="2" fontId="32" fillId="4" borderId="0" xfId="0" applyNumberFormat="1" applyFont="1" applyFill="1" applyBorder="1" applyAlignment="1">
      <alignment horizontal="center" vertical="center"/>
    </xf>
    <xf numFmtId="0" fontId="33" fillId="4" borderId="0" xfId="0" applyNumberFormat="1" applyFont="1" applyFill="1" applyBorder="1" applyAlignment="1">
      <alignment horizontal="center" vertical="center"/>
    </xf>
    <xf numFmtId="0" fontId="32" fillId="4" borderId="0" xfId="0" applyNumberFormat="1" applyFont="1" applyFill="1" applyBorder="1" applyAlignment="1">
      <alignment horizontal="center" vertical="center"/>
    </xf>
    <xf numFmtId="0" fontId="24" fillId="4" borderId="0" xfId="0" applyNumberFormat="1" applyFont="1" applyFill="1" applyBorder="1" applyAlignment="1">
      <alignment horizontal="center" vertical="center"/>
    </xf>
    <xf numFmtId="0" fontId="35" fillId="0" borderId="0" xfId="0" applyFont="1" applyBorder="1" applyAlignment="1">
      <alignment horizontal="left"/>
    </xf>
    <xf numFmtId="164" fontId="2" fillId="0" borderId="0" xfId="0" applyNumberFormat="1" applyFont="1" applyFill="1" applyAlignment="1">
      <alignment horizontal="center"/>
    </xf>
    <xf numFmtId="0" fontId="0" fillId="0" borderId="0" xfId="0"/>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2" fontId="3" fillId="0" borderId="0" xfId="0" applyNumberFormat="1" applyFont="1" applyAlignment="1">
      <alignment horizontal="center"/>
    </xf>
    <xf numFmtId="0" fontId="3" fillId="0" borderId="0" xfId="0" applyFont="1"/>
    <xf numFmtId="0" fontId="2" fillId="0" borderId="0" xfId="0" applyFont="1"/>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right"/>
    </xf>
    <xf numFmtId="164" fontId="3" fillId="0" borderId="0" xfId="0" applyNumberFormat="1" applyFont="1" applyAlignment="1">
      <alignment horizontal="center"/>
    </xf>
    <xf numFmtId="1" fontId="3" fillId="0" borderId="0" xfId="0" applyNumberFormat="1" applyFont="1" applyAlignment="1">
      <alignment horizontal="center"/>
    </xf>
    <xf numFmtId="0" fontId="0" fillId="0" borderId="0" xfId="0" applyAlignment="1">
      <alignment vertical="center"/>
    </xf>
    <xf numFmtId="0" fontId="2" fillId="0" borderId="0" xfId="0" applyFont="1" applyAlignment="1">
      <alignment horizontal="left" vertical="center"/>
    </xf>
    <xf numFmtId="2" fontId="0" fillId="0" borderId="0" xfId="0" applyNumberFormat="1" applyAlignment="1">
      <alignment horizontal="center"/>
    </xf>
    <xf numFmtId="0" fontId="5" fillId="0" borderId="0" xfId="0" applyFont="1"/>
    <xf numFmtId="0" fontId="1" fillId="0" borderId="0" xfId="0" applyFont="1" applyAlignment="1">
      <alignment horizontal="right" vertical="center"/>
    </xf>
    <xf numFmtId="0" fontId="5" fillId="0" borderId="0" xfId="0" applyFont="1" applyAlignment="1">
      <alignment horizontal="center"/>
    </xf>
    <xf numFmtId="0" fontId="1" fillId="0" borderId="0" xfId="0" applyFont="1"/>
    <xf numFmtId="0" fontId="0" fillId="0" borderId="0" xfId="0" applyAlignment="1"/>
    <xf numFmtId="0" fontId="1" fillId="0" borderId="0" xfId="0" applyFont="1" applyAlignment="1">
      <alignment horizontal="center" vertical="center"/>
    </xf>
    <xf numFmtId="0" fontId="2" fillId="0" borderId="0" xfId="0" applyFont="1" applyAlignment="1">
      <alignment horizontal="right"/>
    </xf>
    <xf numFmtId="0" fontId="2" fillId="0" borderId="0" xfId="0" applyFont="1" applyAlignment="1">
      <alignment horizontal="right" vertical="center"/>
    </xf>
    <xf numFmtId="0" fontId="3" fillId="0" borderId="0" xfId="0" applyFont="1" applyAlignment="1">
      <alignment horizontal="right" vertical="center"/>
    </xf>
    <xf numFmtId="0" fontId="0" fillId="0" borderId="0" xfId="0" applyAlignment="1">
      <alignment horizontal="right"/>
    </xf>
    <xf numFmtId="0" fontId="0" fillId="0" borderId="0" xfId="0" applyAlignment="1">
      <alignment horizontal="center"/>
    </xf>
    <xf numFmtId="0" fontId="0" fillId="0" borderId="0" xfId="0" applyAlignment="1">
      <alignment horizontal="right" vertical="center" wrapText="1"/>
    </xf>
    <xf numFmtId="0" fontId="0" fillId="0" borderId="0" xfId="0" applyFill="1" applyAlignment="1">
      <alignment horizontal="right" vertical="center" wrapText="1"/>
    </xf>
    <xf numFmtId="2" fontId="4" fillId="0" borderId="0" xfId="0" applyNumberFormat="1" applyFont="1" applyFill="1" applyAlignment="1">
      <alignment horizontal="center"/>
    </xf>
    <xf numFmtId="0" fontId="1" fillId="0" borderId="0" xfId="0" applyFont="1" applyAlignment="1">
      <alignment horizontal="center"/>
    </xf>
    <xf numFmtId="2" fontId="8" fillId="0" borderId="0" xfId="0" applyNumberFormat="1" applyFont="1" applyAlignment="1">
      <alignment horizontal="center"/>
    </xf>
    <xf numFmtId="2" fontId="9" fillId="0" borderId="0" xfId="0" applyNumberFormat="1" applyFont="1" applyAlignment="1">
      <alignment horizontal="center"/>
    </xf>
    <xf numFmtId="0" fontId="0" fillId="0" borderId="0" xfId="0" applyFont="1" applyAlignment="1">
      <alignment horizontal="center" vertical="center" wrapText="1"/>
    </xf>
    <xf numFmtId="2" fontId="10" fillId="0" borderId="0" xfId="0" applyNumberFormat="1" applyFont="1" applyAlignment="1">
      <alignment horizontal="center"/>
    </xf>
    <xf numFmtId="0" fontId="0" fillId="0" borderId="0" xfId="0" applyFont="1" applyAlignment="1">
      <alignment horizontal="right" vertical="center"/>
    </xf>
    <xf numFmtId="0" fontId="0" fillId="0" borderId="0" xfId="0" applyFill="1" applyAlignment="1">
      <alignment vertical="center" wrapText="1"/>
    </xf>
    <xf numFmtId="0" fontId="8" fillId="0" borderId="0" xfId="0" applyFont="1"/>
    <xf numFmtId="0" fontId="0" fillId="0" borderId="1" xfId="0" applyBorder="1"/>
    <xf numFmtId="0" fontId="3" fillId="0" borderId="0" xfId="0" applyFont="1" applyAlignment="1">
      <alignment horizontal="left" vertical="center"/>
    </xf>
    <xf numFmtId="2" fontId="3" fillId="0" borderId="0" xfId="0" applyNumberFormat="1" applyFont="1" applyFill="1" applyAlignment="1">
      <alignment horizontal="center"/>
    </xf>
    <xf numFmtId="0" fontId="3" fillId="0" borderId="1" xfId="0" applyFont="1" applyBorder="1"/>
    <xf numFmtId="2" fontId="2" fillId="0" borderId="0" xfId="0" applyNumberFormat="1" applyFont="1" applyAlignment="1">
      <alignment horizontal="center"/>
    </xf>
    <xf numFmtId="1" fontId="2" fillId="0" borderId="0" xfId="0" applyNumberFormat="1" applyFont="1" applyAlignment="1">
      <alignment horizontal="center"/>
    </xf>
    <xf numFmtId="164" fontId="2" fillId="0" borderId="0" xfId="0" applyNumberFormat="1" applyFont="1" applyAlignment="1">
      <alignment horizontal="center"/>
    </xf>
    <xf numFmtId="2" fontId="3" fillId="0" borderId="0" xfId="0" applyNumberFormat="1" applyFont="1" applyAlignment="1">
      <alignment horizontal="left"/>
    </xf>
    <xf numFmtId="2" fontId="2" fillId="0" borderId="0" xfId="0" applyNumberFormat="1" applyFont="1" applyFill="1" applyAlignment="1">
      <alignment horizontal="center"/>
    </xf>
    <xf numFmtId="0" fontId="3" fillId="0" borderId="1" xfId="0" applyFont="1" applyBorder="1" applyAlignment="1">
      <alignment horizontal="center"/>
    </xf>
    <xf numFmtId="0" fontId="3" fillId="0" borderId="0" xfId="0" applyFont="1" applyBorder="1"/>
    <xf numFmtId="0" fontId="2" fillId="0" borderId="0" xfId="0" applyFont="1" applyBorder="1" applyAlignment="1">
      <alignment horizontal="center"/>
    </xf>
    <xf numFmtId="0" fontId="0" fillId="0" borderId="0" xfId="0" applyBorder="1"/>
    <xf numFmtId="2" fontId="3" fillId="0" borderId="0" xfId="0" applyNumberFormat="1" applyFont="1" applyBorder="1" applyAlignment="1">
      <alignment horizontal="center"/>
    </xf>
    <xf numFmtId="0" fontId="3" fillId="0" borderId="0" xfId="0" applyFont="1" applyBorder="1"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wrapText="1"/>
    </xf>
    <xf numFmtId="0" fontId="1" fillId="0" borderId="0" xfId="0" applyFont="1" applyBorder="1" applyAlignment="1">
      <alignment horizontal="right"/>
    </xf>
    <xf numFmtId="0" fontId="1" fillId="0" borderId="1" xfId="0" applyFont="1" applyBorder="1"/>
    <xf numFmtId="0" fontId="2" fillId="0" borderId="1" xfId="0" applyFont="1" applyBorder="1" applyAlignment="1">
      <alignment horizontal="right" vertical="center"/>
    </xf>
    <xf numFmtId="1" fontId="0" fillId="0" borderId="0" xfId="0" applyNumberFormat="1"/>
    <xf numFmtId="1" fontId="1" fillId="0" borderId="0" xfId="0" applyNumberFormat="1" applyFont="1" applyAlignment="1">
      <alignment horizontal="center"/>
    </xf>
    <xf numFmtId="1" fontId="3" fillId="0" borderId="0" xfId="0" applyNumberFormat="1" applyFont="1"/>
    <xf numFmtId="1" fontId="0" fillId="0" borderId="0" xfId="0" applyNumberFormat="1" applyAlignment="1">
      <alignment horizontal="center"/>
    </xf>
    <xf numFmtId="1" fontId="3" fillId="0" borderId="1" xfId="0" applyNumberFormat="1" applyFont="1" applyBorder="1" applyAlignment="1">
      <alignment horizontal="center" vertical="center" wrapText="1"/>
    </xf>
    <xf numFmtId="0" fontId="12" fillId="0" borderId="0" xfId="0" applyFont="1" applyAlignment="1">
      <alignment horizontal="right" vertical="center"/>
    </xf>
    <xf numFmtId="0" fontId="12" fillId="0" borderId="0" xfId="0" applyFont="1" applyAlignment="1">
      <alignment horizontal="right"/>
    </xf>
    <xf numFmtId="0" fontId="2" fillId="0" borderId="0" xfId="0" applyFont="1" applyAlignment="1">
      <alignment horizontal="left"/>
    </xf>
    <xf numFmtId="164" fontId="9" fillId="2" borderId="2" xfId="0" applyNumberFormat="1" applyFont="1" applyFill="1" applyBorder="1" applyAlignment="1">
      <alignment horizontal="center"/>
    </xf>
    <xf numFmtId="0" fontId="7" fillId="0" borderId="1" xfId="0" applyFont="1" applyBorder="1" applyAlignment="1">
      <alignment horizontal="center" vertical="center" wrapText="1"/>
    </xf>
    <xf numFmtId="0" fontId="16"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6" fillId="3" borderId="3" xfId="0" applyFont="1" applyFill="1" applyBorder="1" applyAlignment="1">
      <alignment horizontal="center"/>
    </xf>
    <xf numFmtId="0" fontId="17" fillId="3" borderId="3" xfId="0" applyFont="1" applyFill="1" applyBorder="1" applyAlignment="1">
      <alignment horizontal="center" wrapText="1"/>
    </xf>
    <xf numFmtId="0" fontId="17" fillId="3" borderId="4" xfId="0" applyFont="1" applyFill="1" applyBorder="1" applyAlignment="1">
      <alignment horizontal="center" wrapText="1"/>
    </xf>
    <xf numFmtId="0" fontId="17" fillId="3" borderId="5" xfId="0" applyFont="1" applyFill="1" applyBorder="1" applyAlignment="1">
      <alignment horizontal="center" wrapText="1"/>
    </xf>
    <xf numFmtId="0" fontId="17" fillId="3" borderId="2" xfId="0" applyFont="1" applyFill="1" applyBorder="1" applyAlignment="1">
      <alignment horizontal="center" wrapText="1"/>
    </xf>
    <xf numFmtId="0" fontId="21" fillId="3" borderId="11" xfId="0" applyFont="1" applyFill="1" applyBorder="1" applyAlignment="1">
      <alignment horizontal="center"/>
    </xf>
    <xf numFmtId="0" fontId="23" fillId="3" borderId="11" xfId="0" applyFont="1" applyFill="1" applyBorder="1" applyAlignment="1">
      <alignment horizontal="center"/>
    </xf>
    <xf numFmtId="0" fontId="16" fillId="3" borderId="2" xfId="0" applyFont="1" applyFill="1" applyBorder="1" applyAlignment="1">
      <alignment horizontal="center"/>
    </xf>
    <xf numFmtId="0" fontId="16" fillId="3" borderId="11" xfId="0" applyFont="1" applyFill="1" applyBorder="1" applyAlignment="1">
      <alignment horizontal="center"/>
    </xf>
    <xf numFmtId="0" fontId="17" fillId="3" borderId="11" xfId="0" applyFont="1" applyFill="1" applyBorder="1" applyAlignment="1">
      <alignment horizontal="center" wrapText="1"/>
    </xf>
    <xf numFmtId="0" fontId="28" fillId="0" borderId="2" xfId="0" applyFont="1" applyBorder="1" applyAlignment="1">
      <alignment horizontal="centerContinuous"/>
    </xf>
    <xf numFmtId="0" fontId="28" fillId="0" borderId="2" xfId="0" applyFont="1" applyBorder="1" applyAlignment="1">
      <alignment horizontal="center"/>
    </xf>
    <xf numFmtId="164" fontId="25" fillId="5" borderId="3" xfId="0" applyNumberFormat="1" applyFont="1" applyFill="1" applyBorder="1" applyAlignment="1">
      <alignment horizontal="right" vertical="center"/>
    </xf>
    <xf numFmtId="164" fontId="25" fillId="5" borderId="4" xfId="0" applyNumberFormat="1" applyFont="1" applyFill="1" applyBorder="1" applyAlignment="1">
      <alignment horizontal="left" vertical="center"/>
    </xf>
    <xf numFmtId="1" fontId="26" fillId="5" borderId="5" xfId="0" applyNumberFormat="1" applyFont="1" applyFill="1" applyBorder="1" applyAlignment="1">
      <alignment vertical="center"/>
    </xf>
    <xf numFmtId="164" fontId="25" fillId="5" borderId="4" xfId="0" applyNumberFormat="1" applyFont="1" applyFill="1" applyBorder="1" applyAlignment="1">
      <alignment horizontal="right" vertical="center"/>
    </xf>
    <xf numFmtId="0" fontId="24" fillId="4" borderId="2" xfId="0" applyNumberFormat="1" applyFont="1" applyFill="1" applyBorder="1" applyAlignment="1">
      <alignment horizontal="center" vertical="center"/>
    </xf>
    <xf numFmtId="2" fontId="25" fillId="5" borderId="2" xfId="0" applyNumberFormat="1" applyFont="1" applyFill="1" applyBorder="1" applyAlignment="1">
      <alignment horizontal="center" vertical="center"/>
    </xf>
    <xf numFmtId="164" fontId="29" fillId="0" borderId="2" xfId="0" applyNumberFormat="1" applyFont="1" applyBorder="1" applyAlignment="1">
      <alignment horizontal="center" vertical="center"/>
    </xf>
    <xf numFmtId="0" fontId="21" fillId="3" borderId="6" xfId="0" applyFont="1" applyFill="1" applyBorder="1" applyAlignment="1">
      <alignment horizontal="center" wrapText="1"/>
    </xf>
    <xf numFmtId="0" fontId="23" fillId="3" borderId="6" xfId="0" applyFont="1" applyFill="1" applyBorder="1" applyAlignment="1">
      <alignment horizontal="center" wrapText="1"/>
    </xf>
    <xf numFmtId="2" fontId="32" fillId="4" borderId="2" xfId="0" applyNumberFormat="1" applyFont="1" applyFill="1" applyBorder="1" applyAlignment="1">
      <alignment horizontal="center" vertical="center"/>
    </xf>
    <xf numFmtId="0" fontId="33" fillId="4" borderId="2" xfId="0" applyNumberFormat="1" applyFont="1" applyFill="1" applyBorder="1" applyAlignment="1">
      <alignment horizontal="center" vertical="center"/>
    </xf>
    <xf numFmtId="0" fontId="32" fillId="4" borderId="2" xfId="0" applyNumberFormat="1" applyFont="1" applyFill="1" applyBorder="1" applyAlignment="1">
      <alignment horizontal="center" vertical="center"/>
    </xf>
    <xf numFmtId="2" fontId="33" fillId="4" borderId="2" xfId="0" applyNumberFormat="1" applyFont="1" applyFill="1" applyBorder="1" applyAlignment="1">
      <alignment horizontal="center" vertical="center"/>
    </xf>
    <xf numFmtId="164" fontId="27" fillId="5" borderId="3" xfId="0" applyNumberFormat="1" applyFont="1" applyFill="1" applyBorder="1" applyAlignment="1">
      <alignment horizontal="right" vertical="center"/>
    </xf>
    <xf numFmtId="164" fontId="27" fillId="5" borderId="4" xfId="0" applyNumberFormat="1" applyFont="1" applyFill="1" applyBorder="1" applyAlignment="1">
      <alignment horizontal="left" vertical="center"/>
    </xf>
    <xf numFmtId="164" fontId="27" fillId="5" borderId="4" xfId="0" applyNumberFormat="1" applyFont="1" applyFill="1" applyBorder="1" applyAlignment="1">
      <alignment horizontal="right" vertical="center"/>
    </xf>
    <xf numFmtId="1" fontId="27" fillId="2" borderId="5" xfId="0" applyNumberFormat="1" applyFont="1" applyFill="1" applyBorder="1" applyAlignment="1">
      <alignment horizontal="center" vertical="center"/>
    </xf>
    <xf numFmtId="164" fontId="32" fillId="4" borderId="2" xfId="0" applyNumberFormat="1" applyFont="1" applyFill="1" applyBorder="1" applyAlignment="1">
      <alignment horizontal="center" vertical="center"/>
    </xf>
    <xf numFmtId="2" fontId="27" fillId="5" borderId="2" xfId="0" applyNumberFormat="1" applyFont="1" applyFill="1" applyBorder="1" applyAlignment="1">
      <alignment horizontal="center" vertical="center"/>
    </xf>
    <xf numFmtId="0" fontId="34" fillId="5" borderId="2" xfId="0" applyFont="1" applyFill="1" applyBorder="1" applyAlignment="1">
      <alignment horizontal="center" vertical="center"/>
    </xf>
    <xf numFmtId="0" fontId="35" fillId="0" borderId="0" xfId="0" applyFont="1" applyBorder="1" applyAlignment="1">
      <alignment horizontal="center"/>
    </xf>
    <xf numFmtId="0" fontId="35" fillId="0" borderId="0" xfId="0" applyFont="1"/>
    <xf numFmtId="0" fontId="17" fillId="0" borderId="5" xfId="0" applyFont="1" applyFill="1" applyBorder="1" applyAlignment="1">
      <alignment horizontal="center" vertical="center" wrapText="1"/>
    </xf>
    <xf numFmtId="0" fontId="2" fillId="0" borderId="1" xfId="0" applyFont="1" applyBorder="1"/>
    <xf numFmtId="0" fontId="2" fillId="0" borderId="1" xfId="0" applyFont="1" applyBorder="1" applyAlignment="1">
      <alignment horizontal="center" vertical="center" wrapText="1"/>
    </xf>
    <xf numFmtId="2" fontId="2" fillId="0" borderId="0" xfId="0" applyNumberFormat="1" applyFont="1" applyAlignment="1">
      <alignment horizontal="right"/>
    </xf>
    <xf numFmtId="0" fontId="35" fillId="0" borderId="1" xfId="0" applyFont="1" applyBorder="1" applyAlignment="1">
      <alignment horizontal="right"/>
    </xf>
    <xf numFmtId="0" fontId="35" fillId="0" borderId="1" xfId="0" applyFont="1" applyBorder="1" applyAlignment="1">
      <alignment horizontal="left"/>
    </xf>
    <xf numFmtId="0" fontId="4" fillId="0" borderId="0" xfId="0" applyFont="1"/>
    <xf numFmtId="0" fontId="35" fillId="0" borderId="0" xfId="0" applyFont="1" applyAlignment="1">
      <alignment vertical="center"/>
    </xf>
    <xf numFmtId="0" fontId="3" fillId="0" borderId="0" xfId="0" quotePrefix="1" applyFont="1"/>
    <xf numFmtId="0" fontId="35" fillId="0" borderId="0" xfId="0" applyFont="1" applyBorder="1" applyAlignment="1">
      <alignment horizontal="left"/>
    </xf>
    <xf numFmtId="164" fontId="2" fillId="0" borderId="0" xfId="0" applyNumberFormat="1" applyFont="1" applyFill="1" applyAlignment="1">
      <alignment horizontal="center"/>
    </xf>
    <xf numFmtId="0" fontId="36" fillId="2" borderId="2" xfId="0" applyFont="1" applyFill="1" applyBorder="1" applyAlignment="1">
      <alignment horizontal="left"/>
    </xf>
    <xf numFmtId="0" fontId="5" fillId="0" borderId="0" xfId="0" applyFont="1" applyAlignment="1">
      <alignment horizontal="left"/>
    </xf>
    <xf numFmtId="0" fontId="5" fillId="0" borderId="0" xfId="0" applyFont="1" applyAlignment="1">
      <alignment horizontal="right"/>
    </xf>
    <xf numFmtId="0" fontId="0" fillId="0" borderId="0" xfId="0" applyAlignment="1">
      <alignment horizontal="left"/>
    </xf>
    <xf numFmtId="2" fontId="27" fillId="6" borderId="2" xfId="0" applyNumberFormat="1" applyFont="1" applyFill="1" applyBorder="1" applyAlignment="1">
      <alignment horizontal="center" vertical="center"/>
    </xf>
    <xf numFmtId="0" fontId="16" fillId="3" borderId="2" xfId="0" applyFont="1" applyFill="1" applyBorder="1" applyAlignment="1">
      <alignment horizontal="center" wrapText="1"/>
    </xf>
    <xf numFmtId="0" fontId="16" fillId="3" borderId="4" xfId="0" applyFont="1" applyFill="1" applyBorder="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wrapText="1"/>
    </xf>
    <xf numFmtId="0" fontId="30" fillId="3" borderId="3" xfId="0" applyFont="1" applyFill="1" applyBorder="1" applyAlignment="1">
      <alignment horizontal="left"/>
    </xf>
    <xf numFmtId="0" fontId="30" fillId="3" borderId="4" xfId="0" applyFont="1" applyFill="1" applyBorder="1" applyAlignment="1">
      <alignment horizontal="left"/>
    </xf>
    <xf numFmtId="0" fontId="30" fillId="3" borderId="5" xfId="0" applyFont="1" applyFill="1" applyBorder="1" applyAlignment="1">
      <alignment horizontal="left"/>
    </xf>
    <xf numFmtId="0" fontId="16" fillId="3" borderId="6" xfId="0" applyFont="1" applyFill="1" applyBorder="1" applyAlignment="1">
      <alignment horizontal="center" wrapText="1"/>
    </xf>
    <xf numFmtId="0" fontId="16" fillId="3" borderId="11" xfId="0" applyFont="1" applyFill="1" applyBorder="1" applyAlignment="1">
      <alignment horizontal="center" wrapText="1"/>
    </xf>
    <xf numFmtId="0" fontId="17" fillId="3" borderId="6" xfId="0" applyFont="1" applyFill="1" applyBorder="1" applyAlignment="1">
      <alignment horizontal="center" wrapText="1"/>
    </xf>
    <xf numFmtId="0" fontId="17" fillId="3" borderId="12" xfId="0" applyFont="1" applyFill="1" applyBorder="1" applyAlignment="1">
      <alignment horizontal="center" wrapText="1"/>
    </xf>
    <xf numFmtId="0" fontId="16" fillId="3" borderId="3" xfId="0" applyFont="1" applyFill="1" applyBorder="1" applyAlignment="1">
      <alignment horizontal="center"/>
    </xf>
    <xf numFmtId="0" fontId="16" fillId="3" borderId="4" xfId="0" applyFont="1" applyFill="1" applyBorder="1" applyAlignment="1">
      <alignment horizontal="center"/>
    </xf>
    <xf numFmtId="0" fontId="16" fillId="3" borderId="5" xfId="0" applyFont="1" applyFill="1" applyBorder="1" applyAlignment="1">
      <alignment horizontal="center"/>
    </xf>
    <xf numFmtId="0" fontId="17" fillId="3" borderId="2" xfId="0" applyFont="1" applyFill="1" applyBorder="1" applyAlignment="1">
      <alignment horizontal="center"/>
    </xf>
    <xf numFmtId="0" fontId="17" fillId="3" borderId="3" xfId="0" applyFont="1" applyFill="1" applyBorder="1" applyAlignment="1">
      <alignment horizontal="center" wrapText="1"/>
    </xf>
    <xf numFmtId="0" fontId="17" fillId="3" borderId="5" xfId="0" applyFont="1" applyFill="1" applyBorder="1" applyAlignment="1">
      <alignment horizontal="center" wrapText="1"/>
    </xf>
    <xf numFmtId="0" fontId="35" fillId="0" borderId="0" xfId="0" applyFont="1" applyBorder="1" applyAlignment="1">
      <alignment horizontal="center"/>
    </xf>
    <xf numFmtId="0" fontId="1" fillId="0" borderId="0" xfId="0" applyFont="1" applyAlignment="1">
      <alignment horizontal="center" vertical="center"/>
    </xf>
    <xf numFmtId="0" fontId="20" fillId="3" borderId="3" xfId="0" applyFont="1" applyFill="1" applyBorder="1" applyAlignment="1">
      <alignment horizontal="center"/>
    </xf>
    <xf numFmtId="0" fontId="20" fillId="3" borderId="4" xfId="0" applyFont="1" applyFill="1" applyBorder="1" applyAlignment="1">
      <alignment horizontal="center"/>
    </xf>
    <xf numFmtId="0" fontId="20" fillId="3" borderId="5" xfId="0" applyFont="1" applyFill="1" applyBorder="1" applyAlignment="1">
      <alignment horizontal="center"/>
    </xf>
    <xf numFmtId="0" fontId="0" fillId="3" borderId="3" xfId="0" applyFill="1" applyBorder="1" applyAlignment="1">
      <alignment horizontal="center" wrapText="1"/>
    </xf>
    <xf numFmtId="0" fontId="0" fillId="3" borderId="4" xfId="0" applyFill="1" applyBorder="1" applyAlignment="1">
      <alignment horizontal="center" wrapText="1"/>
    </xf>
    <xf numFmtId="0" fontId="0" fillId="3" borderId="5" xfId="0" applyFill="1" applyBorder="1" applyAlignment="1">
      <alignment horizontal="center" wrapText="1"/>
    </xf>
    <xf numFmtId="0" fontId="21" fillId="3" borderId="7"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21" fillId="3" borderId="13" xfId="0" applyFont="1" applyFill="1" applyBorder="1" applyAlignment="1">
      <alignment horizontal="center" vertical="center" wrapText="1"/>
    </xf>
    <xf numFmtId="0" fontId="21" fillId="3" borderId="0" xfId="0" applyFont="1" applyFill="1" applyBorder="1" applyAlignment="1">
      <alignment horizontal="center" vertical="center" wrapText="1"/>
    </xf>
    <xf numFmtId="0" fontId="21" fillId="3" borderId="15"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2" fillId="3" borderId="0" xfId="0" applyFont="1" applyFill="1" applyBorder="1" applyAlignment="1">
      <alignment horizontal="center" vertical="center" wrapText="1"/>
    </xf>
    <xf numFmtId="0" fontId="22" fillId="3" borderId="15" xfId="0" applyFont="1" applyFill="1" applyBorder="1" applyAlignment="1">
      <alignment horizontal="center" vertical="center" wrapText="1"/>
    </xf>
    <xf numFmtId="0" fontId="23" fillId="3" borderId="7"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1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7" fillId="3" borderId="11" xfId="0" applyFont="1" applyFill="1" applyBorder="1" applyAlignment="1">
      <alignment horizontal="center" wrapText="1"/>
    </xf>
    <xf numFmtId="0" fontId="17" fillId="3" borderId="3" xfId="0" applyFont="1" applyFill="1" applyBorder="1" applyAlignment="1">
      <alignment horizontal="center"/>
    </xf>
    <xf numFmtId="0" fontId="17" fillId="3" borderId="5" xfId="0" applyFont="1" applyFill="1" applyBorder="1" applyAlignment="1">
      <alignment horizontal="center"/>
    </xf>
    <xf numFmtId="0" fontId="21" fillId="3" borderId="12"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21" fillId="3" borderId="16" xfId="0" applyFont="1" applyFill="1" applyBorder="1" applyAlignment="1">
      <alignment horizontal="center" vertical="center" wrapText="1"/>
    </xf>
    <xf numFmtId="0" fontId="22" fillId="3" borderId="7" xfId="0" applyFont="1" applyFill="1" applyBorder="1" applyAlignment="1">
      <alignment horizontal="center" vertical="center" wrapText="1"/>
    </xf>
    <xf numFmtId="0" fontId="22" fillId="3" borderId="12"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16" xfId="0" applyFont="1" applyFill="1" applyBorder="1" applyAlignment="1">
      <alignment horizontal="center" vertical="center" wrapText="1"/>
    </xf>
    <xf numFmtId="0" fontId="23" fillId="3" borderId="12"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23" fillId="3" borderId="1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color rgb="FF0000FF"/>
      <color rgb="FFCC0000"/>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CZ68"/>
  <sheetViews>
    <sheetView topLeftCell="A10" zoomScale="90" zoomScaleNormal="90" workbookViewId="0"/>
  </sheetViews>
  <sheetFormatPr defaultRowHeight="15.05" x14ac:dyDescent="0.3"/>
  <cols>
    <col min="3" max="3" width="12.21875" customWidth="1"/>
    <col min="4" max="4" width="12" customWidth="1"/>
    <col min="5" max="6" width="10.109375" customWidth="1"/>
    <col min="7" max="8" width="8.88671875" customWidth="1"/>
    <col min="12" max="12" width="13.44140625" customWidth="1"/>
    <col min="13" max="14" width="13.21875" customWidth="1"/>
    <col min="15" max="15" width="3.21875" customWidth="1"/>
    <col min="16" max="16" width="9" customWidth="1"/>
    <col min="17" max="17" width="7.77734375" customWidth="1"/>
    <col min="18" max="18" width="8.6640625" customWidth="1"/>
    <col min="19" max="19" width="2.44140625" customWidth="1"/>
    <col min="20" max="20" width="7.5546875" customWidth="1"/>
    <col min="21" max="21" width="3.88671875" customWidth="1"/>
    <col min="25" max="25" width="9.77734375" customWidth="1"/>
    <col min="28" max="28" width="3.44140625" customWidth="1"/>
    <col min="35" max="35" width="3.44140625" customWidth="1"/>
    <col min="41" max="41" width="1.6640625" customWidth="1"/>
    <col min="43" max="43" width="3.6640625" customWidth="1"/>
    <col min="49" max="49" width="8.88671875" style="260" customWidth="1"/>
    <col min="50" max="50" width="8.88671875" style="139"/>
    <col min="64" max="65" width="23.77734375" customWidth="1"/>
    <col min="67" max="67" width="2.33203125" customWidth="1"/>
    <col min="70" max="70" width="2.33203125" customWidth="1"/>
    <col min="73" max="73" width="2.33203125" customWidth="1"/>
    <col min="75" max="75" width="10.44140625" customWidth="1"/>
    <col min="77" max="77" width="18" style="139" customWidth="1"/>
    <col min="91" max="92" width="23.77734375" customWidth="1"/>
    <col min="94" max="94" width="2.33203125" customWidth="1"/>
    <col min="95" max="95" width="9.88671875" customWidth="1"/>
    <col min="97" max="97" width="2.33203125" customWidth="1"/>
    <col min="98" max="98" width="9.88671875" customWidth="1"/>
    <col min="100" max="100" width="2.33203125" customWidth="1"/>
    <col min="101" max="101" width="9.5546875" customWidth="1"/>
    <col min="102" max="102" width="10.44140625" customWidth="1"/>
    <col min="104" max="104" width="8.88671875" style="139"/>
  </cols>
  <sheetData>
    <row r="1" spans="2:103" ht="14.4" customHeight="1" x14ac:dyDescent="0.3"/>
    <row r="2" spans="2:103" ht="14.4" customHeight="1" x14ac:dyDescent="0.3">
      <c r="B2" s="15" t="s">
        <v>57</v>
      </c>
      <c r="X2" s="7" t="s">
        <v>187</v>
      </c>
      <c r="Y2" s="7"/>
      <c r="AE2" s="7" t="s">
        <v>218</v>
      </c>
      <c r="AF2" s="7"/>
      <c r="AL2" s="7" t="s">
        <v>192</v>
      </c>
      <c r="AT2" s="7" t="s">
        <v>188</v>
      </c>
    </row>
    <row r="3" spans="2:103" ht="14.4" customHeight="1" x14ac:dyDescent="0.3">
      <c r="B3" s="129" t="s">
        <v>234</v>
      </c>
      <c r="P3" s="279" t="s">
        <v>179</v>
      </c>
      <c r="Q3" s="279"/>
      <c r="R3" s="120"/>
      <c r="S3" s="120"/>
      <c r="X3" s="8" t="s">
        <v>135</v>
      </c>
      <c r="Y3" s="8"/>
      <c r="AE3" s="8" t="s">
        <v>239</v>
      </c>
      <c r="AF3" s="7"/>
      <c r="AL3" s="8" t="s">
        <v>217</v>
      </c>
      <c r="AT3" s="8" t="s">
        <v>186</v>
      </c>
      <c r="AY3" s="5" t="s">
        <v>207</v>
      </c>
    </row>
    <row r="4" spans="2:103" ht="14.4" customHeight="1" x14ac:dyDescent="0.3">
      <c r="D4" s="9" t="s">
        <v>176</v>
      </c>
      <c r="E4" s="74" t="s">
        <v>177</v>
      </c>
      <c r="F4" s="74" t="s">
        <v>178</v>
      </c>
      <c r="G4" s="5" t="s">
        <v>235</v>
      </c>
      <c r="J4" s="28"/>
      <c r="K4" s="28"/>
      <c r="P4" s="127" t="s">
        <v>178</v>
      </c>
      <c r="Q4" s="128" t="s">
        <v>177</v>
      </c>
      <c r="R4" s="137"/>
      <c r="S4" s="137"/>
      <c r="X4" s="8" t="s">
        <v>200</v>
      </c>
      <c r="Y4" s="8"/>
      <c r="AE4" s="8" t="s">
        <v>227</v>
      </c>
      <c r="AF4" s="8"/>
      <c r="AL4" s="8" t="s">
        <v>191</v>
      </c>
      <c r="AT4" s="8" t="s">
        <v>216</v>
      </c>
      <c r="AY4" s="5" t="s">
        <v>209</v>
      </c>
    </row>
    <row r="5" spans="2:103" ht="14.4" customHeight="1" x14ac:dyDescent="0.3">
      <c r="B5" s="5" t="s">
        <v>236</v>
      </c>
      <c r="P5" s="59" t="str">
        <f>IF(AND(IFERROR(SEARCH("incr",$E$4&amp;$F$4),0),IFERROR(SEARCH("decr",$E$4&amp;$F$4),0)),"???",IF(IFERROR(SEARCH("incr",$E$4&amp;$F$4),0),0,IF(IFERROR(SEARCH("decr",$E$4&amp;$F$4),0),1,"???")))</f>
        <v>???</v>
      </c>
      <c r="Q5" s="59" t="str">
        <f>IF(AND(IFERROR(SEARCH("incr",$E$4&amp;$F$4),0),IFERROR(SEARCH("decr",$E$4&amp;$F$4),0)),"???",IF(IFERROR(SEARCH("incr",$E$4&amp;$F$4),0),1,IF(IFERROR(SEARCH("decr",$E$4&amp;$F$4),0),0,"???")))</f>
        <v>???</v>
      </c>
      <c r="R5" s="59"/>
      <c r="S5" s="59"/>
      <c r="X5" s="8" t="s">
        <v>226</v>
      </c>
      <c r="Y5" s="8"/>
      <c r="AE5" s="8" t="s">
        <v>228</v>
      </c>
      <c r="AF5" s="8"/>
      <c r="AL5" s="29"/>
      <c r="AT5" s="8" t="s">
        <v>215</v>
      </c>
    </row>
    <row r="6" spans="2:103" ht="14.4" customHeight="1" x14ac:dyDescent="0.3">
      <c r="M6" s="148" t="s">
        <v>253</v>
      </c>
      <c r="N6" s="257">
        <v>100</v>
      </c>
      <c r="Q6" s="59"/>
      <c r="R6" s="59"/>
      <c r="S6" s="59"/>
      <c r="X6" s="8"/>
      <c r="Y6" s="8"/>
      <c r="AE6" s="8"/>
      <c r="AF6" s="8"/>
      <c r="AL6" s="29"/>
      <c r="AO6" s="28"/>
      <c r="AT6" s="8"/>
    </row>
    <row r="7" spans="2:103" ht="22.85" x14ac:dyDescent="0.3">
      <c r="E7" s="27"/>
      <c r="G7" s="5"/>
      <c r="AY7" s="78">
        <v>0</v>
      </c>
      <c r="AZ7" s="79" t="s">
        <v>143</v>
      </c>
      <c r="BA7" s="80">
        <v>0.5</v>
      </c>
      <c r="BB7" s="79" t="s">
        <v>144</v>
      </c>
      <c r="BC7" s="80">
        <v>5</v>
      </c>
      <c r="BD7" s="79" t="s">
        <v>145</v>
      </c>
      <c r="BE7" s="80">
        <v>25</v>
      </c>
      <c r="BF7" s="81" t="s">
        <v>146</v>
      </c>
      <c r="BG7" s="82">
        <f>100-BE7</f>
        <v>75</v>
      </c>
      <c r="BH7" s="79" t="s">
        <v>147</v>
      </c>
      <c r="BI7" s="82">
        <f>100-BC7</f>
        <v>95</v>
      </c>
      <c r="BJ7" s="79" t="s">
        <v>148</v>
      </c>
      <c r="BK7" s="82">
        <f>100-BA7</f>
        <v>99.5</v>
      </c>
      <c r="BL7" s="123" t="s">
        <v>149</v>
      </c>
    </row>
    <row r="8" spans="2:103" ht="14.4" customHeight="1" x14ac:dyDescent="0.3">
      <c r="B8" s="265" t="s">
        <v>59</v>
      </c>
      <c r="C8" s="265"/>
      <c r="D8" s="265"/>
      <c r="E8" s="265"/>
      <c r="F8" s="265"/>
      <c r="G8" s="265"/>
      <c r="H8" s="265"/>
      <c r="I8" s="265"/>
      <c r="J8" s="21"/>
      <c r="U8" s="6" t="s">
        <v>112</v>
      </c>
      <c r="AC8" s="6" t="s">
        <v>118</v>
      </c>
      <c r="AT8" s="7" t="s">
        <v>115</v>
      </c>
    </row>
    <row r="9" spans="2:103" ht="14.4" customHeight="1" x14ac:dyDescent="0.3">
      <c r="B9" s="280" t="s">
        <v>0</v>
      </c>
      <c r="C9" s="265" t="s">
        <v>1</v>
      </c>
      <c r="D9" s="265" t="s">
        <v>2</v>
      </c>
      <c r="E9" s="21" t="s">
        <v>3</v>
      </c>
      <c r="F9" s="265" t="s">
        <v>5</v>
      </c>
      <c r="G9" s="265" t="s">
        <v>37</v>
      </c>
      <c r="H9" s="265" t="s">
        <v>6</v>
      </c>
      <c r="I9" s="265"/>
      <c r="J9" s="21"/>
      <c r="T9" s="47"/>
      <c r="U9" s="47"/>
      <c r="V9" s="54" t="s">
        <v>14</v>
      </c>
      <c r="W9" s="54" t="s">
        <v>62</v>
      </c>
      <c r="X9" s="54" t="s">
        <v>15</v>
      </c>
      <c r="Y9" s="54" t="s">
        <v>110</v>
      </c>
      <c r="Z9" s="54" t="s">
        <v>111</v>
      </c>
      <c r="AC9" s="54" t="s">
        <v>14</v>
      </c>
      <c r="AD9" s="54" t="s">
        <v>62</v>
      </c>
      <c r="AE9" s="54" t="s">
        <v>15</v>
      </c>
      <c r="AF9" s="54" t="s">
        <v>110</v>
      </c>
      <c r="AG9" s="54" t="s">
        <v>111</v>
      </c>
      <c r="AP9" s="47"/>
      <c r="AQ9" s="47"/>
      <c r="AR9" s="54" t="s">
        <v>14</v>
      </c>
      <c r="AS9" s="54" t="s">
        <v>62</v>
      </c>
      <c r="AT9" s="54" t="s">
        <v>15</v>
      </c>
      <c r="AU9" s="54" t="s">
        <v>110</v>
      </c>
      <c r="AV9" s="54" t="s">
        <v>111</v>
      </c>
    </row>
    <row r="10" spans="2:103" x14ac:dyDescent="0.3">
      <c r="B10" s="280"/>
      <c r="C10" s="265"/>
      <c r="D10" s="265"/>
      <c r="E10" s="21" t="s">
        <v>4</v>
      </c>
      <c r="F10" s="265"/>
      <c r="G10" s="265"/>
      <c r="H10" s="265"/>
      <c r="I10" s="265"/>
      <c r="J10" s="21"/>
      <c r="U10" s="24" t="s">
        <v>108</v>
      </c>
      <c r="V10" s="4">
        <f t="shared" ref="V10:Z11" si="0">SQRT(V26)</f>
        <v>0.94868329805051377</v>
      </c>
      <c r="W10" s="4">
        <f t="shared" si="0"/>
        <v>0.83666002653407556</v>
      </c>
      <c r="X10" s="4">
        <f t="shared" si="0"/>
        <v>0.70710678118654757</v>
      </c>
      <c r="Y10" s="4">
        <f t="shared" si="0"/>
        <v>0.54772255750516607</v>
      </c>
      <c r="Z10" s="4">
        <f t="shared" si="0"/>
        <v>0.31622776601683794</v>
      </c>
      <c r="AC10" s="10">
        <f t="shared" ref="AC10:AG11" si="1">100*V10-100</f>
        <v>-5.1316701949486259</v>
      </c>
      <c r="AD10" s="11">
        <f t="shared" si="1"/>
        <v>-16.33399734659244</v>
      </c>
      <c r="AE10" s="11">
        <f t="shared" si="1"/>
        <v>-29.289321881345245</v>
      </c>
      <c r="AF10" s="11">
        <f t="shared" si="1"/>
        <v>-45.227744249483393</v>
      </c>
      <c r="AG10" s="11">
        <f t="shared" si="1"/>
        <v>-68.377223398316204</v>
      </c>
      <c r="AQ10" s="24" t="s">
        <v>108</v>
      </c>
      <c r="AR10" s="4">
        <f t="shared" ref="AR10:AV11" si="2">0.5*AR26</f>
        <v>-0.1</v>
      </c>
      <c r="AS10" s="4">
        <f t="shared" si="2"/>
        <v>-0.3</v>
      </c>
      <c r="AT10" s="4">
        <f t="shared" si="2"/>
        <v>-0.6</v>
      </c>
      <c r="AU10" s="4">
        <f t="shared" si="2"/>
        <v>-1</v>
      </c>
      <c r="AV10" s="4">
        <f t="shared" si="2"/>
        <v>-2</v>
      </c>
    </row>
    <row r="11" spans="2:103" ht="14.4" x14ac:dyDescent="0.3">
      <c r="B11" s="23" t="s">
        <v>7</v>
      </c>
      <c r="C11" s="21" t="s">
        <v>8</v>
      </c>
      <c r="D11" s="1">
        <v>8.5650000000000004E-2</v>
      </c>
      <c r="E11" s="1">
        <v>5.2420000000000001E-2</v>
      </c>
      <c r="F11" s="1">
        <v>1.63</v>
      </c>
      <c r="G11" s="1">
        <v>0.1023</v>
      </c>
      <c r="H11" s="12">
        <v>-5.6999999999999998E-4</v>
      </c>
      <c r="I11" s="1">
        <v>0.1719</v>
      </c>
      <c r="J11" s="1"/>
      <c r="L11" s="29"/>
      <c r="M11" s="29"/>
      <c r="U11" s="24" t="s">
        <v>109</v>
      </c>
      <c r="V11" s="4">
        <f t="shared" si="0"/>
        <v>1.0540925533894598</v>
      </c>
      <c r="W11" s="4">
        <f t="shared" si="0"/>
        <v>1.1952286093343936</v>
      </c>
      <c r="X11" s="4">
        <f t="shared" si="0"/>
        <v>1.4142135623730951</v>
      </c>
      <c r="Y11" s="4">
        <f t="shared" si="0"/>
        <v>1.8257418583505538</v>
      </c>
      <c r="Z11" s="10">
        <f t="shared" si="0"/>
        <v>3.1622776601683795</v>
      </c>
      <c r="AC11" s="10">
        <f t="shared" si="1"/>
        <v>5.4092553389459823</v>
      </c>
      <c r="AD11" s="11">
        <f t="shared" si="1"/>
        <v>19.522860933439361</v>
      </c>
      <c r="AE11" s="11">
        <f t="shared" si="1"/>
        <v>41.42135623730951</v>
      </c>
      <c r="AF11" s="11">
        <f t="shared" si="1"/>
        <v>82.574185835055374</v>
      </c>
      <c r="AG11" s="11">
        <f t="shared" si="1"/>
        <v>216.22776601683796</v>
      </c>
      <c r="AQ11" s="24" t="s">
        <v>109</v>
      </c>
      <c r="AR11" s="4">
        <f t="shared" si="2"/>
        <v>0.1</v>
      </c>
      <c r="AS11" s="4">
        <f t="shared" si="2"/>
        <v>0.3</v>
      </c>
      <c r="AT11" s="4">
        <f t="shared" si="2"/>
        <v>0.6</v>
      </c>
      <c r="AU11" s="4">
        <f t="shared" si="2"/>
        <v>1</v>
      </c>
      <c r="AV11" s="4">
        <f t="shared" si="2"/>
        <v>2</v>
      </c>
    </row>
    <row r="12" spans="2:103" ht="14.4" x14ac:dyDescent="0.3">
      <c r="B12" s="25" t="s">
        <v>9</v>
      </c>
      <c r="C12" s="21"/>
      <c r="D12" s="1">
        <v>4.2810000000000001E-2</v>
      </c>
      <c r="E12" s="1">
        <v>4.2380000000000001E-2</v>
      </c>
      <c r="F12" s="1">
        <v>1.01</v>
      </c>
      <c r="G12" s="1">
        <v>0.3125</v>
      </c>
      <c r="H12" s="12">
        <v>-2.691E-2</v>
      </c>
      <c r="I12" s="1">
        <v>0.1125</v>
      </c>
      <c r="J12" s="130" t="s">
        <v>205</v>
      </c>
      <c r="L12" s="14"/>
      <c r="M12" s="5"/>
    </row>
    <row r="13" spans="2:103" ht="15.65" customHeight="1" x14ac:dyDescent="0.3">
      <c r="B13" s="25" t="s">
        <v>10</v>
      </c>
      <c r="C13" s="21"/>
      <c r="D13" s="1">
        <v>1.5105</v>
      </c>
      <c r="E13" s="1">
        <v>0.32500000000000001</v>
      </c>
      <c r="F13" s="1">
        <v>4.6500000000000004</v>
      </c>
      <c r="G13" s="1" t="s">
        <v>11</v>
      </c>
      <c r="H13" s="1">
        <v>1.0960000000000001</v>
      </c>
      <c r="I13" s="1">
        <v>2.2402000000000002</v>
      </c>
      <c r="J13" s="130" t="s">
        <v>201</v>
      </c>
      <c r="L13" s="32"/>
    </row>
    <row r="14" spans="2:103" ht="15.65" customHeight="1" x14ac:dyDescent="0.3">
      <c r="V14" s="55"/>
      <c r="W14" s="55"/>
      <c r="X14" s="56" t="s">
        <v>238</v>
      </c>
      <c r="Y14" s="56"/>
      <c r="Z14" s="55"/>
      <c r="AA14" s="55"/>
      <c r="AB14" s="57"/>
      <c r="AC14" s="55"/>
      <c r="AD14" s="55"/>
      <c r="AE14" s="56" t="s">
        <v>237</v>
      </c>
      <c r="AF14" s="56"/>
      <c r="AG14" s="55"/>
      <c r="AH14" s="55"/>
      <c r="AI14" s="57"/>
      <c r="AJ14" s="55"/>
      <c r="AK14" s="55"/>
      <c r="AL14" s="56" t="s">
        <v>212</v>
      </c>
      <c r="AN14" s="55"/>
      <c r="AO14" s="55"/>
      <c r="AP14" s="55"/>
      <c r="AQ14" s="57"/>
      <c r="AR14" s="55"/>
      <c r="AS14" s="55"/>
      <c r="AT14" s="56" t="s">
        <v>213</v>
      </c>
      <c r="AU14" s="55"/>
      <c r="AV14" s="55"/>
      <c r="AY14" s="266" t="s">
        <v>210</v>
      </c>
      <c r="AZ14" s="267"/>
      <c r="BA14" s="267"/>
      <c r="BB14" s="267"/>
      <c r="BC14" s="267"/>
      <c r="BD14" s="267"/>
      <c r="BE14" s="268"/>
      <c r="BF14" s="277" t="s">
        <v>208</v>
      </c>
      <c r="BG14" s="278"/>
      <c r="BH14" s="281" t="s">
        <v>211</v>
      </c>
      <c r="BI14" s="282"/>
      <c r="BJ14" s="282"/>
      <c r="BK14" s="282"/>
      <c r="BL14" s="282"/>
      <c r="BM14" s="283"/>
      <c r="BN14" s="284" t="s">
        <v>150</v>
      </c>
      <c r="BO14" s="285"/>
      <c r="BP14" s="285"/>
      <c r="BQ14" s="285"/>
      <c r="BR14" s="285"/>
      <c r="BS14" s="285"/>
      <c r="BT14" s="285"/>
      <c r="BU14" s="285"/>
      <c r="BV14" s="286"/>
      <c r="BZ14" s="266" t="s">
        <v>169</v>
      </c>
      <c r="CA14" s="267"/>
      <c r="CB14" s="267"/>
      <c r="CC14" s="267"/>
      <c r="CD14" s="267"/>
      <c r="CE14" s="267"/>
      <c r="CF14" s="268"/>
      <c r="CG14" s="277" t="s">
        <v>208</v>
      </c>
      <c r="CH14" s="278"/>
      <c r="CI14" s="281" t="s">
        <v>180</v>
      </c>
      <c r="CJ14" s="282"/>
      <c r="CK14" s="282"/>
      <c r="CL14" s="282"/>
      <c r="CM14" s="282"/>
      <c r="CN14" s="283"/>
      <c r="CO14" s="284" t="s">
        <v>150</v>
      </c>
      <c r="CP14" s="285"/>
      <c r="CQ14" s="285"/>
      <c r="CR14" s="285"/>
      <c r="CS14" s="285"/>
      <c r="CT14" s="285"/>
      <c r="CU14" s="285"/>
      <c r="CV14" s="285"/>
      <c r="CW14" s="286"/>
    </row>
    <row r="15" spans="2:103" ht="14.4" customHeight="1" x14ac:dyDescent="0.3">
      <c r="B15" s="6" t="s">
        <v>107</v>
      </c>
      <c r="L15" s="8" t="s">
        <v>85</v>
      </c>
      <c r="U15" s="36"/>
      <c r="V15" s="58"/>
      <c r="W15" s="55"/>
      <c r="X15" s="59" t="s">
        <v>103</v>
      </c>
      <c r="Y15" s="59"/>
      <c r="Z15" s="55"/>
      <c r="AA15" s="55"/>
      <c r="AB15" s="57"/>
      <c r="AC15" s="58"/>
      <c r="AD15" s="55"/>
      <c r="AE15" s="59" t="s">
        <v>103</v>
      </c>
      <c r="AF15" s="59"/>
      <c r="AG15" s="55"/>
      <c r="AH15" s="55"/>
      <c r="AI15" s="57"/>
      <c r="AJ15" s="55"/>
      <c r="AK15" s="55"/>
      <c r="AL15" s="59" t="s">
        <v>102</v>
      </c>
      <c r="AM15" s="58"/>
      <c r="AN15" s="58"/>
      <c r="AO15" s="58"/>
      <c r="AP15" s="58" t="s">
        <v>75</v>
      </c>
      <c r="AQ15" s="57"/>
      <c r="AR15" s="55"/>
      <c r="AS15" s="55"/>
      <c r="AT15" s="59" t="s">
        <v>193</v>
      </c>
      <c r="AU15" s="55"/>
      <c r="AV15" s="55"/>
      <c r="AY15" s="269" t="s">
        <v>175</v>
      </c>
      <c r="AZ15" s="271" t="s">
        <v>152</v>
      </c>
      <c r="BA15" s="273" t="s">
        <v>153</v>
      </c>
      <c r="BB15" s="274"/>
      <c r="BC15" s="275"/>
      <c r="BD15" s="276" t="s">
        <v>154</v>
      </c>
      <c r="BE15" s="276"/>
      <c r="BF15" s="106" t="s">
        <v>171</v>
      </c>
      <c r="BG15" s="107" t="s">
        <v>172</v>
      </c>
      <c r="BH15" s="273" t="str">
        <f>"Effect &amp; re-estimated "&amp;BE17&amp;"% confidence limits"</f>
        <v>Effect &amp; re-estimated 90% confidence limits</v>
      </c>
      <c r="BI15" s="274"/>
      <c r="BJ15" s="274"/>
      <c r="BK15" s="275"/>
      <c r="BL15" s="277" t="s">
        <v>155</v>
      </c>
      <c r="BM15" s="278"/>
      <c r="BN15" s="287" t="e">
        <f>"...beneficial or
substantially "&amp;BF16</f>
        <v>#VALUE!</v>
      </c>
      <c r="BO15" s="288"/>
      <c r="BP15" s="289"/>
      <c r="BQ15" s="293" t="s">
        <v>156</v>
      </c>
      <c r="BR15" s="293"/>
      <c r="BS15" s="294"/>
      <c r="BT15" s="297" t="e">
        <f>"...harmful or 
substantially "&amp;BG16</f>
        <v>#VALUE!</v>
      </c>
      <c r="BU15" s="298"/>
      <c r="BV15" s="299"/>
      <c r="BW15" s="303"/>
      <c r="BZ15" s="269" t="s">
        <v>151</v>
      </c>
      <c r="CA15" s="271" t="s">
        <v>152</v>
      </c>
      <c r="CB15" s="273" t="s">
        <v>153</v>
      </c>
      <c r="CC15" s="274"/>
      <c r="CD15" s="275"/>
      <c r="CE15" s="276" t="s">
        <v>154</v>
      </c>
      <c r="CF15" s="276"/>
      <c r="CG15" s="106" t="s">
        <v>171</v>
      </c>
      <c r="CH15" s="107" t="s">
        <v>172</v>
      </c>
      <c r="CI15" s="273" t="str">
        <f>"Effect &amp; re-estimated "&amp;CF17&amp;"% confidence limits"</f>
        <v>Effect &amp; re-estimated 90% confidence limits</v>
      </c>
      <c r="CJ15" s="274"/>
      <c r="CK15" s="274"/>
      <c r="CL15" s="275"/>
      <c r="CM15" s="277" t="s">
        <v>155</v>
      </c>
      <c r="CN15" s="278"/>
      <c r="CO15" s="287" t="e">
        <f>"...beneficial or
substantially "&amp;CG16</f>
        <v>#VALUE!</v>
      </c>
      <c r="CP15" s="288"/>
      <c r="CQ15" s="289"/>
      <c r="CR15" s="293" t="s">
        <v>156</v>
      </c>
      <c r="CS15" s="293"/>
      <c r="CT15" s="294"/>
      <c r="CU15" s="297" t="e">
        <f>"...harmful or 
substantially "&amp;CH16</f>
        <v>#VALUE!</v>
      </c>
      <c r="CV15" s="298"/>
      <c r="CW15" s="299"/>
      <c r="CX15" s="303"/>
    </row>
    <row r="16" spans="2:103" ht="14.4" customHeight="1" x14ac:dyDescent="0.3">
      <c r="B16" s="43"/>
      <c r="C16" s="43"/>
      <c r="D16" s="54" t="s">
        <v>2</v>
      </c>
      <c r="E16" s="54" t="s">
        <v>12</v>
      </c>
      <c r="F16" s="54" t="s">
        <v>13</v>
      </c>
      <c r="G16" s="54" t="s">
        <v>137</v>
      </c>
      <c r="H16" s="54" t="s">
        <v>22</v>
      </c>
      <c r="L16" s="54" t="s">
        <v>206</v>
      </c>
      <c r="T16" s="43"/>
      <c r="U16" s="43"/>
      <c r="V16" s="60" t="s">
        <v>2</v>
      </c>
      <c r="W16" s="191" t="s">
        <v>260</v>
      </c>
      <c r="X16" s="191" t="s">
        <v>261</v>
      </c>
      <c r="Y16" s="206" t="s">
        <v>229</v>
      </c>
      <c r="Z16" s="191" t="s">
        <v>61</v>
      </c>
      <c r="AA16" s="191" t="s">
        <v>60</v>
      </c>
      <c r="AB16" s="188"/>
      <c r="AC16" s="191" t="s">
        <v>2</v>
      </c>
      <c r="AD16" s="191" t="s">
        <v>260</v>
      </c>
      <c r="AE16" s="191" t="s">
        <v>261</v>
      </c>
      <c r="AF16" s="191" t="s">
        <v>230</v>
      </c>
      <c r="AG16" s="191" t="s">
        <v>61</v>
      </c>
      <c r="AH16" s="191" t="s">
        <v>60</v>
      </c>
      <c r="AI16" s="188"/>
      <c r="AJ16" s="191" t="s">
        <v>2</v>
      </c>
      <c r="AK16" s="191" t="s">
        <v>260</v>
      </c>
      <c r="AL16" s="191" t="s">
        <v>261</v>
      </c>
      <c r="AM16" s="191" t="s">
        <v>61</v>
      </c>
      <c r="AN16" s="191" t="s">
        <v>60</v>
      </c>
      <c r="AO16" s="191"/>
      <c r="AP16" s="192" t="s">
        <v>83</v>
      </c>
      <c r="AQ16" s="188"/>
      <c r="AR16" s="191" t="s">
        <v>2</v>
      </c>
      <c r="AS16" s="191" t="s">
        <v>260</v>
      </c>
      <c r="AT16" s="191" t="s">
        <v>261</v>
      </c>
      <c r="AU16" s="62" t="s">
        <v>61</v>
      </c>
      <c r="AV16" s="62" t="s">
        <v>60</v>
      </c>
      <c r="AY16" s="270"/>
      <c r="AZ16" s="272"/>
      <c r="BA16" s="262" t="s">
        <v>262</v>
      </c>
      <c r="BB16" s="263" t="s">
        <v>263</v>
      </c>
      <c r="BC16" s="93" t="s">
        <v>225</v>
      </c>
      <c r="BD16" s="89" t="s">
        <v>160</v>
      </c>
      <c r="BE16" s="90" t="s">
        <v>161</v>
      </c>
      <c r="BF16" s="91" t="e">
        <f>IF(BF17&lt;1,"decr.","incr.")</f>
        <v>#VALUE!</v>
      </c>
      <c r="BG16" s="92" t="e">
        <f>IF(BG17&gt;1,"incr.","decr.")</f>
        <v>#VALUE!</v>
      </c>
      <c r="BH16" s="83" t="s">
        <v>17</v>
      </c>
      <c r="BI16" s="262" t="s">
        <v>262</v>
      </c>
      <c r="BJ16" s="263" t="s">
        <v>263</v>
      </c>
      <c r="BK16" s="93" t="s">
        <v>225</v>
      </c>
      <c r="BL16" s="94" t="s">
        <v>164</v>
      </c>
      <c r="BM16" s="95" t="s">
        <v>165</v>
      </c>
      <c r="BN16" s="290"/>
      <c r="BO16" s="291"/>
      <c r="BP16" s="292"/>
      <c r="BQ16" s="295"/>
      <c r="BR16" s="295"/>
      <c r="BS16" s="296"/>
      <c r="BT16" s="300"/>
      <c r="BU16" s="301"/>
      <c r="BV16" s="302"/>
      <c r="BW16" s="304"/>
      <c r="BX16" s="97" t="s">
        <v>167</v>
      </c>
      <c r="BZ16" s="270"/>
      <c r="CA16" s="272"/>
      <c r="CB16" s="262" t="s">
        <v>262</v>
      </c>
      <c r="CC16" s="263" t="s">
        <v>263</v>
      </c>
      <c r="CD16" s="93" t="s">
        <v>222</v>
      </c>
      <c r="CE16" s="89" t="s">
        <v>160</v>
      </c>
      <c r="CF16" s="90" t="s">
        <v>161</v>
      </c>
      <c r="CG16" s="91" t="e">
        <f>IF(CG17&lt;0,"decr.","incr.")</f>
        <v>#VALUE!</v>
      </c>
      <c r="CH16" s="92" t="e">
        <f>IF(CH17&gt;0,"incr.","decr.")</f>
        <v>#VALUE!</v>
      </c>
      <c r="CI16" s="83" t="s">
        <v>17</v>
      </c>
      <c r="CJ16" s="262" t="s">
        <v>262</v>
      </c>
      <c r="CK16" s="263" t="s">
        <v>263</v>
      </c>
      <c r="CL16" s="93" t="s">
        <v>222</v>
      </c>
      <c r="CM16" s="94" t="s">
        <v>164</v>
      </c>
      <c r="CN16" s="95" t="s">
        <v>165</v>
      </c>
      <c r="CO16" s="290"/>
      <c r="CP16" s="291"/>
      <c r="CQ16" s="292"/>
      <c r="CR16" s="295"/>
      <c r="CS16" s="295"/>
      <c r="CT16" s="296"/>
      <c r="CU16" s="300"/>
      <c r="CV16" s="301"/>
      <c r="CW16" s="302"/>
      <c r="CX16" s="304"/>
      <c r="CY16" s="96" t="s">
        <v>167</v>
      </c>
    </row>
    <row r="17" spans="2:104" ht="14.4" x14ac:dyDescent="0.3">
      <c r="B17" s="3" t="str">
        <f>B11</f>
        <v>Intercept</v>
      </c>
      <c r="C17" s="3" t="str">
        <f>C11</f>
        <v>AthleteID</v>
      </c>
      <c r="D17" s="4">
        <f>IFERROR(SQRT(D11),-SQRT(-D11))</f>
        <v>0.29266021253323793</v>
      </c>
      <c r="E17" s="4">
        <f>IFERROR(SQRT(H11),-SQRT(-H11))</f>
        <v>-2.3874672772626643E-2</v>
      </c>
      <c r="F17" s="4">
        <f>IFERROR(SQRT(I11),-SQRT(-I11))</f>
        <v>0.41460824883255759</v>
      </c>
      <c r="G17" s="4">
        <f>D11/E11</f>
        <v>1.633918351774132</v>
      </c>
      <c r="H17" s="4">
        <f>(100-MID($H$9,6,2))/100</f>
        <v>0.1</v>
      </c>
      <c r="L17" s="10">
        <f>$L$28/SQRT(V17)</f>
        <v>11.893191681876912</v>
      </c>
      <c r="U17" s="24" t="str">
        <f>C17</f>
        <v>AthleteID</v>
      </c>
      <c r="V17" s="48">
        <f t="shared" ref="V17:X18" si="3">EXP(D17)</f>
        <v>1.3399874021435791</v>
      </c>
      <c r="W17" s="48">
        <f t="shared" si="3"/>
        <v>0.97640807260657558</v>
      </c>
      <c r="X17" s="48">
        <f t="shared" si="3"/>
        <v>1.5137776003757328</v>
      </c>
      <c r="Y17" s="48">
        <f>SQRT(X17/W17)</f>
        <v>1.2451318909385105</v>
      </c>
      <c r="Z17" s="4">
        <f>$V$10</f>
        <v>0.94868329805051377</v>
      </c>
      <c r="AA17" s="4">
        <f>$V$11</f>
        <v>1.0540925533894598</v>
      </c>
      <c r="AC17" s="49">
        <f>100*V17-100</f>
        <v>33.998740214357923</v>
      </c>
      <c r="AD17" s="49">
        <f t="shared" ref="AD17:AD18" si="4">100*W17-100</f>
        <v>-2.359192739342447</v>
      </c>
      <c r="AE17" s="49">
        <f t="shared" ref="AE17:AE18" si="5">100*X17-100</f>
        <v>51.377760037573296</v>
      </c>
      <c r="AF17" s="49">
        <f>(AE17-AD17)/2</f>
        <v>26.868476388457871</v>
      </c>
      <c r="AG17" s="10">
        <f>100*Z17-100</f>
        <v>-5.1316701949486259</v>
      </c>
      <c r="AH17" s="10">
        <f>100*AA17-100</f>
        <v>5.4092553389459823</v>
      </c>
      <c r="AJ17" s="4">
        <f t="shared" ref="AJ17:AL18" si="6">D17</f>
        <v>0.29266021253323793</v>
      </c>
      <c r="AK17" s="4">
        <f t="shared" si="6"/>
        <v>-2.3874672772626643E-2</v>
      </c>
      <c r="AL17" s="4">
        <f t="shared" si="6"/>
        <v>0.41460824883255759</v>
      </c>
      <c r="AM17" s="4">
        <f>LN(Z17)</f>
        <v>-5.2680257828913182E-2</v>
      </c>
      <c r="AN17" s="4">
        <f>LN(AA17)</f>
        <v>5.268025782891321E-2</v>
      </c>
      <c r="AO17" s="4"/>
      <c r="AP17" s="4">
        <f>SQRT($D$11+$D$13*100/$N$6/L17)</f>
        <v>0.46114578651592175</v>
      </c>
      <c r="AR17" s="4">
        <f>AJ17/AP17</f>
        <v>0.63463707376437972</v>
      </c>
      <c r="AS17" s="4">
        <f>AK17/AP17</f>
        <v>-5.1772505508520639E-2</v>
      </c>
      <c r="AT17" s="4">
        <f>AL17/AP17</f>
        <v>0.89908280842167598</v>
      </c>
      <c r="AU17" s="4">
        <f>$AR$10</f>
        <v>-0.1</v>
      </c>
      <c r="AV17" s="4">
        <f>$AR$11</f>
        <v>0.1</v>
      </c>
      <c r="AW17" s="204" t="str">
        <f>U17</f>
        <v>AthleteID</v>
      </c>
      <c r="AY17" s="108">
        <f>V17</f>
        <v>1.3399874021435791</v>
      </c>
      <c r="AZ17" s="109">
        <v>999</v>
      </c>
      <c r="BA17" s="108">
        <f>W17</f>
        <v>0.97640807260657558</v>
      </c>
      <c r="BB17" s="108">
        <f>X17</f>
        <v>1.5137776003757328</v>
      </c>
      <c r="BC17" s="108">
        <f>SQRT(BB17/BA17)</f>
        <v>1.2451318909385105</v>
      </c>
      <c r="BD17" s="110">
        <f>100*(1-H17)</f>
        <v>90</v>
      </c>
      <c r="BE17" s="102">
        <f>100-2*$BC$7</f>
        <v>90</v>
      </c>
      <c r="BF17" s="108" t="e">
        <f>$P$5*Z17+$Q$5*AA17</f>
        <v>#VALUE!</v>
      </c>
      <c r="BG17" s="108" t="e">
        <f>$Q$5*Z17+$P$5*AA17</f>
        <v>#VALUE!</v>
      </c>
      <c r="BH17" s="103">
        <f>AY17</f>
        <v>1.3399874021435791</v>
      </c>
      <c r="BI17" s="103">
        <f>EXP(LN(AY17)-TINV((100-BE17)/100,AZ17)*BX17)</f>
        <v>1.0761810952682063</v>
      </c>
      <c r="BJ17" s="103">
        <f>EXP(LN(AY17)+TINV((100-BE17)/100,AZ17)*BX17)</f>
        <v>1.668461047864817</v>
      </c>
      <c r="BK17" s="103">
        <f>SQRT(BJ17/BI17)</f>
        <v>1.2451318909385105</v>
      </c>
      <c r="BL17" s="118" t="s">
        <v>204</v>
      </c>
      <c r="BM17" s="118" t="e">
        <f>IF(MIN(BN17,BT17)&gt;$BC$7,"unclear",IF(MAX(BN17,BQ17,BT17)=BN17,BP17&amp;" "&amp;BF$16,IF(MAX(BN17,BQ17,BT17)=BQ17,BS17&amp;" trivial",BV17&amp;" "&amp;BG$16)))</f>
        <v>#VALUE!</v>
      </c>
      <c r="BN17" s="98" t="e">
        <f>100*IF(LN(BF17)&gt;0,IF(LN(AY17)-LN(BF17)&gt;0,1-TDIST((LN(AY17)-LN(BF17))/BX17,AZ17,1),TDIST((LN(BF17)-LN(AY17))/BX17,AZ17,1)),IF(LN(AY17)-LN(BF17)&gt;0,TDIST((LN(AY17)-LN(BF17))/BX17,AZ17,1),1-TDIST((LN(BF17)-LN(AY17))/BX17,AZ17,1)))</f>
        <v>#VALUE!</v>
      </c>
      <c r="BO17" s="99" t="s">
        <v>166</v>
      </c>
      <c r="BP17" s="100" t="e">
        <f>IF(BN17&lt;$BA$7,$AZ$7,IF(BN17&lt;$BC$7,$BB$7,IF(BN17&lt;$BE$7,$BD$7,IF(BN17&lt;$BG$7,$BF$7,IF(BN17&lt;$BI$7,$BH$7,IF(BN17&lt;$BK$7,$BJ$7,$BL$7))))))</f>
        <v>#VALUE!</v>
      </c>
      <c r="BQ17" s="101" t="e">
        <f>100-BN17-BT17</f>
        <v>#VALUE!</v>
      </c>
      <c r="BR17" s="99" t="s">
        <v>166</v>
      </c>
      <c r="BS17" s="100" t="e">
        <f>IF(BQ17&lt;$BA$7,$AZ$7,IF(BQ17&lt;$BC$7,$BB$7,IF(BQ17&lt;$BE$7,$BD$7,IF(BQ17&lt;$BG$7,$BF$7,IF(BQ17&lt;$BI$7,$BH$7,IF(BQ17&lt;$BK$7,$BJ$7,$BL$7))))))</f>
        <v>#VALUE!</v>
      </c>
      <c r="BT17" s="98" t="e">
        <f>100*IF(LN(BG17)&gt;0,IF(LN(AY17)-LN(BG17)&gt;0,1-TDIST((LN(AY17)-LN(BG17))/BX17,AZ17,1),TDIST((LN(BG17)-LN(AY17))/BX17,AZ17,1)),IF(LN(AY17)-LN(BG17)&gt;0,TDIST((LN(AY17)-LN(BG17))/BX17,AZ17,1),1-TDIST((LN(BG17)-LN(AY17))/BX17,AZ17,1)))</f>
        <v>#VALUE!</v>
      </c>
      <c r="BU17" s="99" t="s">
        <v>166</v>
      </c>
      <c r="BV17" s="100" t="e">
        <f>IF(BT17&lt;$BA$7,$AZ$7,IF(BT17&lt;$BC$7,$BB$7,IF(BT17&lt;$BE$7,$BD$7,IF(BT17&lt;$BG$7,$BF$7,IF(BT17&lt;$BI$7,$BH$7,IF(BT17&lt;$BK$7,$BJ$7,$BL$7))))))</f>
        <v>#VALUE!</v>
      </c>
      <c r="BW17" s="115"/>
      <c r="BX17" s="105">
        <f>(LN(BB17)-LN(BA17))/2/TINV(1-BD17/100,AZ17)</f>
        <v>0.13316574229733347</v>
      </c>
      <c r="BY17" s="249" t="str">
        <f>U17</f>
        <v>AthleteID</v>
      </c>
      <c r="BZ17" s="111">
        <f>AR17</f>
        <v>0.63463707376437972</v>
      </c>
      <c r="CA17" s="109">
        <v>999</v>
      </c>
      <c r="CB17" s="111">
        <f>AS17</f>
        <v>-5.1772505508520639E-2</v>
      </c>
      <c r="CC17" s="111">
        <f>AT17</f>
        <v>0.89908280842167598</v>
      </c>
      <c r="CD17" s="111">
        <f>(CC17-CB17)/2</f>
        <v>0.47542765696509831</v>
      </c>
      <c r="CE17" s="109">
        <f>100*(1-H17)</f>
        <v>90</v>
      </c>
      <c r="CF17" s="102">
        <f>100-2*$BC$7</f>
        <v>90</v>
      </c>
      <c r="CG17" s="108" t="e">
        <f>$P$5*AU17+$Q$5*AV17</f>
        <v>#VALUE!</v>
      </c>
      <c r="CH17" s="108" t="e">
        <f>$Q$5*AU17+$P$5*AV17</f>
        <v>#VALUE!</v>
      </c>
      <c r="CI17" s="261">
        <f>BZ17</f>
        <v>0.63463707376437972</v>
      </c>
      <c r="CJ17" s="117">
        <f>BZ17-TINV((100-CF17)/100,CA17)*CY17</f>
        <v>0.15920941679928136</v>
      </c>
      <c r="CK17" s="117">
        <f>BZ17+TINV((100-CF17)/100,CA17)*CY17</f>
        <v>1.1100647307294782</v>
      </c>
      <c r="CL17" s="117">
        <f>(CK17-CJ17)/2</f>
        <v>0.47542765696509842</v>
      </c>
      <c r="CM17" s="118" t="s">
        <v>204</v>
      </c>
      <c r="CN17" s="118" t="e">
        <f>IF(MIN(CO17,CU17)&gt;$BC$7,"unclear",IF(MAX(CO17,CR17,CU17)=CO17,CQ17&amp;" "&amp;CG$16,IF(MAX(CO17,CR17,CU17)=CR17,CT17&amp;" trivial",CW17&amp;" "&amp;CH$16)))</f>
        <v>#VALUE!</v>
      </c>
      <c r="CO17" s="112" t="e">
        <f>100*IF(CG17&gt;0,IF(BZ17-CG17&gt;0,1-TDIST((BZ17-CG17)/CY17,CA17,1),TDIST((CG17-BZ17)/CY17,CA17,1)),IF(BZ17-CG17&gt;0,TDIST((BZ17-CG17)/CY17,CA17,1),1-TDIST((CG17-BZ17)/CY17,CA17,1)))</f>
        <v>#VALUE!</v>
      </c>
      <c r="CP17" s="113" t="s">
        <v>166</v>
      </c>
      <c r="CQ17" s="100" t="e">
        <f>IF(CO17&lt;$BA$7,$AZ$7,IF(CO17&lt;$BC$7,$BB$7,IF(CO17&lt;$BE$7,$BD$7,IF(CO17&lt;$BG$7,$BF$7,IF(CO17&lt;$BI$7,$BH$7,IF(CO17&lt;$BK$7,$BJ$7,$BL$7))))))</f>
        <v>#VALUE!</v>
      </c>
      <c r="CR17" s="114" t="e">
        <f>100-CO17-CU17</f>
        <v>#VALUE!</v>
      </c>
      <c r="CS17" s="113" t="s">
        <v>166</v>
      </c>
      <c r="CT17" s="100" t="e">
        <f>IF(CR17&lt;$BA$7,$AZ$7,IF(CR17&lt;$BC$7,$BB$7,IF(CR17&lt;$BE$7,$BD$7,IF(CR17&lt;$BG$7,$BF$7,IF(CR17&lt;$BI$7,$BH$7,IF(CR17&lt;$BK$7,$BJ$7,$BL$7))))))</f>
        <v>#VALUE!</v>
      </c>
      <c r="CU17" s="112" t="e">
        <f>100*IF(CH17&gt;0,IF(BZ17-CH17&gt;0,1-TDIST((BZ17-CH17)/CY17,CA17,1),TDIST((CH17-BZ17)/CY17,CA17,1)),IF(BZ17-CH17&gt;0,TDIST((BZ17-CH17)/CY17,CA17,1),1-TDIST((CH17-BZ17)/CY17,CA17,1)))</f>
        <v>#VALUE!</v>
      </c>
      <c r="CV17" s="113" t="s">
        <v>166</v>
      </c>
      <c r="CW17" s="100" t="e">
        <f>IF(CU17&lt;$BA$7,$AZ$7,IF(CU17&lt;$BC$7,$BB$7,IF(CU17&lt;$BE$7,$BD$7,IF(CU17&lt;$BG$7,$BF$7,IF(CU17&lt;$BI$7,$BH$7,IF(CU17&lt;$BK$7,$BJ$7,$BL$7))))))</f>
        <v>#VALUE!</v>
      </c>
      <c r="CX17" s="115"/>
      <c r="CY17" s="105">
        <f>(CC17-CB17)/2/TINV(1-CE17/100,CA17)</f>
        <v>0.28877146054707742</v>
      </c>
      <c r="CZ17" s="258" t="str">
        <f>U17</f>
        <v>AthleteID</v>
      </c>
    </row>
    <row r="18" spans="2:104" ht="14.4" x14ac:dyDescent="0.3">
      <c r="B18" s="3" t="str">
        <f>B12</f>
        <v>GameID</v>
      </c>
      <c r="C18" s="3"/>
      <c r="D18" s="4">
        <f>IFERROR(SQRT(D12),-SQRT(-D12))</f>
        <v>0.20690577565645674</v>
      </c>
      <c r="E18" s="4">
        <f>IFERROR(SQRT(H12),-SQRT(-H12))</f>
        <v>-0.16404267737390779</v>
      </c>
      <c r="F18" s="4">
        <f>IFERROR(SQRT(I12),-SQRT(-I12))</f>
        <v>0.33541019662496846</v>
      </c>
      <c r="G18" s="4">
        <f>D12/E12</f>
        <v>1.010146295422369</v>
      </c>
      <c r="H18" s="4">
        <f>(100-MID($H$9,6,2))/100</f>
        <v>0.1</v>
      </c>
      <c r="L18" s="10">
        <f>$L$28/SQRT(V18)</f>
        <v>12.414229155413501</v>
      </c>
      <c r="U18" s="24" t="str">
        <f>B18</f>
        <v>GameID</v>
      </c>
      <c r="V18" s="48">
        <f t="shared" si="3"/>
        <v>1.2298666829402178</v>
      </c>
      <c r="W18" s="48">
        <f t="shared" si="3"/>
        <v>0.84870580057250833</v>
      </c>
      <c r="X18" s="48">
        <f t="shared" si="3"/>
        <v>1.3985139332760881</v>
      </c>
      <c r="Y18" s="48">
        <f>SQRT(X18/W18)</f>
        <v>1.283674202883696</v>
      </c>
      <c r="Z18" s="4">
        <f>$V$10</f>
        <v>0.94868329805051377</v>
      </c>
      <c r="AA18" s="4">
        <f>$V$11</f>
        <v>1.0540925533894598</v>
      </c>
      <c r="AC18" s="49">
        <f>100*V18-100</f>
        <v>22.986668294021783</v>
      </c>
      <c r="AD18" s="49">
        <f t="shared" si="4"/>
        <v>-15.129419942749166</v>
      </c>
      <c r="AE18" s="49">
        <f t="shared" si="5"/>
        <v>39.851393327608804</v>
      </c>
      <c r="AF18" s="49">
        <f>(AE18-AD18)/2</f>
        <v>27.490406635178985</v>
      </c>
      <c r="AG18" s="10">
        <f>100*Z18-100</f>
        <v>-5.1316701949486259</v>
      </c>
      <c r="AH18" s="10">
        <f>100*AA18-100</f>
        <v>5.4092553389459823</v>
      </c>
      <c r="AJ18" s="4">
        <f t="shared" si="6"/>
        <v>0.20690577565645674</v>
      </c>
      <c r="AK18" s="4">
        <f t="shared" si="6"/>
        <v>-0.16404267737390779</v>
      </c>
      <c r="AL18" s="4">
        <f t="shared" si="6"/>
        <v>0.33541019662496846</v>
      </c>
      <c r="AM18" s="4">
        <f>LN(Z18)</f>
        <v>-5.2680257828913182E-2</v>
      </c>
      <c r="AN18" s="4">
        <f>LN(AA18)</f>
        <v>5.268025782891321E-2</v>
      </c>
      <c r="AO18" s="4"/>
      <c r="AP18" s="4">
        <f>SQRT($D$11+$D$13*100/$N$6/L18)</f>
        <v>0.45532943311925911</v>
      </c>
      <c r="AR18" s="4">
        <f>AJ18/AP18</f>
        <v>0.45440896328409397</v>
      </c>
      <c r="AS18" s="4">
        <f>AK18/AP18</f>
        <v>-0.36027250918115372</v>
      </c>
      <c r="AT18" s="4">
        <f>AL18/AP18</f>
        <v>0.73663192455454196</v>
      </c>
      <c r="AU18" s="4">
        <f>$AR$10</f>
        <v>-0.1</v>
      </c>
      <c r="AV18" s="4">
        <f>$AR$11</f>
        <v>0.1</v>
      </c>
      <c r="AW18" s="204" t="str">
        <f>U18</f>
        <v>GameID</v>
      </c>
      <c r="AY18" s="108">
        <f>V18</f>
        <v>1.2298666829402178</v>
      </c>
      <c r="AZ18" s="109">
        <v>999</v>
      </c>
      <c r="BA18" s="108">
        <f>W18</f>
        <v>0.84870580057250833</v>
      </c>
      <c r="BB18" s="108">
        <f>X18</f>
        <v>1.3985139332760881</v>
      </c>
      <c r="BC18" s="108">
        <f>SQRT(BB18/BA18)</f>
        <v>1.283674202883696</v>
      </c>
      <c r="BD18" s="110">
        <f>100*(1-H18)</f>
        <v>90</v>
      </c>
      <c r="BE18" s="102">
        <f>100-2*$BC$7</f>
        <v>90</v>
      </c>
      <c r="BF18" s="108" t="e">
        <f>$P$5*Z18+$Q$5*AA18</f>
        <v>#VALUE!</v>
      </c>
      <c r="BG18" s="108" t="e">
        <f>$Q$5*Z18+$P$5*AA18</f>
        <v>#VALUE!</v>
      </c>
      <c r="BH18" s="103">
        <f>AY18</f>
        <v>1.2298666829402178</v>
      </c>
      <c r="BI18" s="103">
        <f>EXP(LN(AY18)-TINV((100-BE18)/100,AZ18)*BX18)</f>
        <v>0.95808319601453173</v>
      </c>
      <c r="BJ18" s="103">
        <f>EXP(LN(AY18)+TINV((100-BE18)/100,AZ18)*BX18)</f>
        <v>1.5787481338764995</v>
      </c>
      <c r="BK18" s="103">
        <f>SQRT(BJ18/BI18)</f>
        <v>1.283674202883696</v>
      </c>
      <c r="BL18" s="118" t="s">
        <v>204</v>
      </c>
      <c r="BM18" s="118" t="e">
        <f>IF(MIN(BN18,BT18)&gt;$BC$7,"unclear",IF(MAX(BN18,BQ18,BT18)=BN18,BP18&amp;" "&amp;BF$16,IF(MAX(BN18,BQ18,BT18)=BQ18,BS18&amp;" trivial",BV18&amp;" "&amp;BG$16)))</f>
        <v>#VALUE!</v>
      </c>
      <c r="BN18" s="98" t="e">
        <f>100*IF(LN(BF18)&gt;0,IF(LN(AY18)-LN(BF18)&gt;0,1-TDIST((LN(AY18)-LN(BF18))/BX18,AZ18,1),TDIST((LN(BF18)-LN(AY18))/BX18,AZ18,1)),IF(LN(AY18)-LN(BF18)&gt;0,TDIST((LN(AY18)-LN(BF18))/BX18,AZ18,1),1-TDIST((LN(BF18)-LN(AY18))/BX18,AZ18,1)))</f>
        <v>#VALUE!</v>
      </c>
      <c r="BO18" s="99" t="s">
        <v>166</v>
      </c>
      <c r="BP18" s="100" t="e">
        <f>IF(BN18&lt;$BA$7,$AZ$7,IF(BN18&lt;$BC$7,$BB$7,IF(BN18&lt;$BE$7,$BD$7,IF(BN18&lt;$BG$7,$BF$7,IF(BN18&lt;$BI$7,$BH$7,IF(BN18&lt;$BK$7,$BJ$7,$BL$7))))))</f>
        <v>#VALUE!</v>
      </c>
      <c r="BQ18" s="101" t="e">
        <f>100-BN18-BT18</f>
        <v>#VALUE!</v>
      </c>
      <c r="BR18" s="99" t="s">
        <v>166</v>
      </c>
      <c r="BS18" s="100" t="e">
        <f>IF(BQ18&lt;$BA$7,$AZ$7,IF(BQ18&lt;$BC$7,$BB$7,IF(BQ18&lt;$BE$7,$BD$7,IF(BQ18&lt;$BG$7,$BF$7,IF(BQ18&lt;$BI$7,$BH$7,IF(BQ18&lt;$BK$7,$BJ$7,$BL$7))))))</f>
        <v>#VALUE!</v>
      </c>
      <c r="BT18" s="98" t="e">
        <f>100*IF(LN(BG18)&gt;0,IF(LN(AY18)-LN(BG18)&gt;0,1-TDIST((LN(AY18)-LN(BG18))/BX18,AZ18,1),TDIST((LN(BG18)-LN(AY18))/BX18,AZ18,1)),IF(LN(AY18)-LN(BG18)&gt;0,TDIST((LN(AY18)-LN(BG18))/BX18,AZ18,1),1-TDIST((LN(BG18)-LN(AY18))/BX18,AZ18,1)))</f>
        <v>#VALUE!</v>
      </c>
      <c r="BU18" s="99" t="s">
        <v>166</v>
      </c>
      <c r="BV18" s="100" t="e">
        <f>IF(BT18&lt;$BA$7,$AZ$7,IF(BT18&lt;$BC$7,$BB$7,IF(BT18&lt;$BE$7,$BD$7,IF(BT18&lt;$BG$7,$BF$7,IF(BT18&lt;$BI$7,$BH$7,IF(BT18&lt;$BK$7,$BJ$7,$BL$7))))))</f>
        <v>#VALUE!</v>
      </c>
      <c r="BW18" s="115"/>
      <c r="BX18" s="105">
        <f>(LN(BB18)-LN(BA18))/2/TINV(1-BD18/100,AZ18)</f>
        <v>0.15168210534886786</v>
      </c>
      <c r="BY18" s="249" t="str">
        <f>U18</f>
        <v>GameID</v>
      </c>
      <c r="BZ18" s="111">
        <f>AR18</f>
        <v>0.45440896328409397</v>
      </c>
      <c r="CA18" s="109">
        <v>999</v>
      </c>
      <c r="CB18" s="111">
        <f>AS18</f>
        <v>-0.36027250918115372</v>
      </c>
      <c r="CC18" s="111">
        <f>AT18</f>
        <v>0.73663192455454196</v>
      </c>
      <c r="CD18" s="111">
        <f>(CC18-CB18)/2</f>
        <v>0.54845221686784784</v>
      </c>
      <c r="CE18" s="109">
        <f>100*(1-H18)</f>
        <v>90</v>
      </c>
      <c r="CF18" s="102">
        <f>100-2*$BC$7</f>
        <v>90</v>
      </c>
      <c r="CG18" s="233" t="e">
        <f>$P$5*AU18+$Q$5*AV18</f>
        <v>#VALUE!</v>
      </c>
      <c r="CH18" s="233" t="e">
        <f>$Q$5*AU18+$P$5*AV18</f>
        <v>#VALUE!</v>
      </c>
      <c r="CI18" s="117">
        <f>BZ18</f>
        <v>0.45440896328409397</v>
      </c>
      <c r="CJ18" s="117">
        <f>BZ18-TINV((100-CF18)/100,CA18)*CY18</f>
        <v>-9.4043253583753872E-2</v>
      </c>
      <c r="CK18" s="117">
        <f>BZ18+TINV((100-CF18)/100,CA18)*CY18</f>
        <v>1.0028611801519418</v>
      </c>
      <c r="CL18" s="117">
        <f>(CK18-CJ18)/2</f>
        <v>0.54845221686784784</v>
      </c>
      <c r="CM18" s="118" t="s">
        <v>204</v>
      </c>
      <c r="CN18" s="118" t="e">
        <f>IF(MIN(CO18,CU18)&gt;$BC$7,"unclear",IF(MAX(CO18,CR18,CU18)=CO18,CQ18&amp;" "&amp;CG$16,IF(MAX(CO18,CR18,CU18)=CR18,CT18&amp;" trivial",CW18&amp;" "&amp;CH$16)))</f>
        <v>#VALUE!</v>
      </c>
      <c r="CO18" s="112" t="e">
        <f>100*IF(CG18&gt;0,IF(BZ18-CG18&gt;0,1-TDIST((BZ18-CG18)/CY18,CA18,1),TDIST((CG18-BZ18)/CY18,CA18,1)),IF(BZ18-CG18&gt;0,TDIST((BZ18-CG18)/CY18,CA18,1),1-TDIST((CG18-BZ18)/CY18,CA18,1)))</f>
        <v>#VALUE!</v>
      </c>
      <c r="CP18" s="113" t="s">
        <v>166</v>
      </c>
      <c r="CQ18" s="100" t="e">
        <f>IF(CO18&lt;$BA$7,$AZ$7,IF(CO18&lt;$BC$7,$BB$7,IF(CO18&lt;$BE$7,$BD$7,IF(CO18&lt;$BG$7,$BF$7,IF(CO18&lt;$BI$7,$BH$7,IF(CO18&lt;$BK$7,$BJ$7,$BL$7))))))</f>
        <v>#VALUE!</v>
      </c>
      <c r="CR18" s="114" t="e">
        <f>100-CO18-CU18</f>
        <v>#VALUE!</v>
      </c>
      <c r="CS18" s="113" t="s">
        <v>166</v>
      </c>
      <c r="CT18" s="100" t="e">
        <f>IF(CR18&lt;$BA$7,$AZ$7,IF(CR18&lt;$BC$7,$BB$7,IF(CR18&lt;$BE$7,$BD$7,IF(CR18&lt;$BG$7,$BF$7,IF(CR18&lt;$BI$7,$BH$7,IF(CR18&lt;$BK$7,$BJ$7,$BL$7))))))</f>
        <v>#VALUE!</v>
      </c>
      <c r="CU18" s="112" t="e">
        <f>100*IF(CH18&gt;0,IF(BZ18-CH18&gt;0,1-TDIST((BZ18-CH18)/CY18,CA18,1),TDIST((CH18-BZ18)/CY18,CA18,1)),IF(BZ18-CH18&gt;0,TDIST((BZ18-CH18)/CY18,CA18,1),1-TDIST((CH18-BZ18)/CY18,CA18,1)))</f>
        <v>#VALUE!</v>
      </c>
      <c r="CV18" s="113" t="s">
        <v>166</v>
      </c>
      <c r="CW18" s="100" t="e">
        <f>IF(CU18&lt;$BA$7,$AZ$7,IF(CU18&lt;$BC$7,$BB$7,IF(CU18&lt;$BE$7,$BD$7,IF(CU18&lt;$BG$7,$BF$7,IF(CU18&lt;$BI$7,$BH$7,IF(CU18&lt;$BK$7,$BJ$7,$BL$7))))))</f>
        <v>#VALUE!</v>
      </c>
      <c r="CX18" s="115"/>
      <c r="CY18" s="105">
        <f>(CC18-CB18)/2/TINV(1-CE18/100,CA18)</f>
        <v>0.33312607162194924</v>
      </c>
      <c r="CZ18" s="258" t="str">
        <f>U18</f>
        <v>GameID</v>
      </c>
    </row>
    <row r="19" spans="2:104" ht="14.4" x14ac:dyDescent="0.3">
      <c r="B19" s="122" t="s">
        <v>250</v>
      </c>
      <c r="T19" s="20"/>
      <c r="AJ19" s="5"/>
      <c r="AK19" s="5"/>
      <c r="AL19" s="5"/>
      <c r="AM19" s="5"/>
      <c r="AN19" s="5"/>
      <c r="AO19" s="5"/>
      <c r="AP19" s="5"/>
      <c r="AR19" s="5"/>
      <c r="AS19" s="5"/>
      <c r="AT19" s="5"/>
      <c r="BH19" s="5" t="s">
        <v>221</v>
      </c>
      <c r="CI19" s="5" t="s">
        <v>219</v>
      </c>
    </row>
    <row r="20" spans="2:104" ht="14.4" x14ac:dyDescent="0.3">
      <c r="T20" s="20"/>
      <c r="AJ20" s="5"/>
      <c r="AK20" s="5"/>
      <c r="AL20" s="5"/>
      <c r="AM20" s="5"/>
      <c r="AN20" s="5"/>
      <c r="AO20" s="5"/>
      <c r="AP20" s="5"/>
      <c r="AR20" s="5"/>
      <c r="AS20" s="5"/>
      <c r="AT20" s="5"/>
      <c r="BH20" s="5" t="s">
        <v>220</v>
      </c>
      <c r="CI20" s="5" t="s">
        <v>220</v>
      </c>
    </row>
    <row r="21" spans="2:104" ht="14.4" x14ac:dyDescent="0.3">
      <c r="T21" s="20"/>
      <c r="AJ21" s="5"/>
      <c r="AK21" s="5"/>
      <c r="AL21" s="5"/>
      <c r="AM21" s="5"/>
      <c r="AN21" s="5"/>
      <c r="AO21" s="5"/>
      <c r="AP21" s="5"/>
      <c r="AR21" s="5"/>
      <c r="AS21" s="5"/>
      <c r="AT21" s="5"/>
    </row>
    <row r="22" spans="2:104" ht="14.4" x14ac:dyDescent="0.3">
      <c r="T22" s="20"/>
      <c r="AJ22" s="5"/>
      <c r="AK22" s="5"/>
      <c r="AL22" s="5"/>
      <c r="AM22" s="5"/>
      <c r="AN22" s="5"/>
      <c r="AO22" s="5"/>
      <c r="AP22" s="5"/>
      <c r="AR22" s="5"/>
      <c r="AS22" s="5"/>
      <c r="AT22" s="5"/>
    </row>
    <row r="23" spans="2:104" ht="14.4" x14ac:dyDescent="0.3">
      <c r="T23" s="20"/>
      <c r="AJ23" s="5"/>
      <c r="AK23" s="5"/>
      <c r="AL23" s="5"/>
      <c r="AM23" s="5"/>
      <c r="AN23" s="5"/>
      <c r="AO23" s="5"/>
      <c r="AP23" s="5"/>
      <c r="AR23" s="5"/>
      <c r="AS23" s="5"/>
      <c r="AT23" s="5"/>
    </row>
    <row r="24" spans="2:104" ht="14.4" customHeight="1" x14ac:dyDescent="0.3">
      <c r="L24" s="5" t="s">
        <v>248</v>
      </c>
      <c r="U24" s="6" t="s">
        <v>113</v>
      </c>
      <c r="AC24" s="6" t="s">
        <v>120</v>
      </c>
      <c r="AJ24" s="5"/>
      <c r="AK24" s="5"/>
      <c r="AL24" s="5"/>
      <c r="AM24" s="5"/>
      <c r="AN24" s="5"/>
      <c r="AO24" s="5"/>
      <c r="AQ24" s="6" t="s">
        <v>114</v>
      </c>
    </row>
    <row r="25" spans="2:104" ht="14.4" customHeight="1" x14ac:dyDescent="0.3">
      <c r="C25" s="265" t="s">
        <v>38</v>
      </c>
      <c r="D25" s="265"/>
      <c r="E25" s="265"/>
      <c r="F25" s="265"/>
      <c r="G25" s="265"/>
      <c r="H25" s="265"/>
      <c r="I25" s="265"/>
      <c r="J25" s="265"/>
      <c r="K25" s="265"/>
      <c r="L25" s="265"/>
      <c r="M25" s="265"/>
      <c r="N25" s="265"/>
      <c r="O25" s="75"/>
      <c r="T25" s="47"/>
      <c r="U25" s="47"/>
      <c r="V25" s="54" t="s">
        <v>14</v>
      </c>
      <c r="W25" s="54" t="s">
        <v>62</v>
      </c>
      <c r="X25" s="54" t="s">
        <v>15</v>
      </c>
      <c r="Y25" s="54" t="s">
        <v>110</v>
      </c>
      <c r="Z25" s="54" t="s">
        <v>111</v>
      </c>
      <c r="AC25" s="54" t="s">
        <v>14</v>
      </c>
      <c r="AD25" s="54" t="s">
        <v>62</v>
      </c>
      <c r="AE25" s="54" t="s">
        <v>15</v>
      </c>
      <c r="AF25" s="54" t="s">
        <v>110</v>
      </c>
      <c r="AG25" s="54" t="s">
        <v>111</v>
      </c>
      <c r="AJ25" s="5"/>
      <c r="AK25" s="5"/>
      <c r="AL25" s="5"/>
      <c r="AM25" s="5"/>
      <c r="AN25" s="5"/>
      <c r="AO25" s="5"/>
      <c r="AP25" s="47"/>
      <c r="AQ25" s="47"/>
      <c r="AR25" s="54" t="s">
        <v>14</v>
      </c>
      <c r="AS25" s="54" t="s">
        <v>62</v>
      </c>
      <c r="AT25" s="54" t="s">
        <v>15</v>
      </c>
      <c r="AU25" s="54" t="s">
        <v>110</v>
      </c>
      <c r="AV25" s="54" t="s">
        <v>111</v>
      </c>
    </row>
    <row r="26" spans="2:104" ht="14.4" customHeight="1" x14ac:dyDescent="0.3">
      <c r="C26" s="265" t="s">
        <v>39</v>
      </c>
      <c r="D26" s="265" t="s">
        <v>2</v>
      </c>
      <c r="E26" s="21" t="s">
        <v>3</v>
      </c>
      <c r="F26" s="265" t="s">
        <v>19</v>
      </c>
      <c r="G26" s="265" t="s">
        <v>20</v>
      </c>
      <c r="H26" s="265" t="s">
        <v>21</v>
      </c>
      <c r="I26" s="265" t="s">
        <v>22</v>
      </c>
      <c r="J26" s="265" t="s">
        <v>12</v>
      </c>
      <c r="K26" s="265" t="s">
        <v>13</v>
      </c>
      <c r="L26" s="21" t="s">
        <v>40</v>
      </c>
      <c r="M26" s="21" t="s">
        <v>40</v>
      </c>
      <c r="N26" s="21" t="s">
        <v>40</v>
      </c>
      <c r="O26" s="75"/>
      <c r="Q26" s="17" t="s">
        <v>249</v>
      </c>
      <c r="U26" s="24" t="s">
        <v>108</v>
      </c>
      <c r="V26" s="8">
        <v>0.9</v>
      </c>
      <c r="W26" s="8">
        <v>0.7</v>
      </c>
      <c r="X26" s="8">
        <v>0.5</v>
      </c>
      <c r="Y26" s="8">
        <v>0.3</v>
      </c>
      <c r="Z26" s="8">
        <v>0.1</v>
      </c>
      <c r="AC26" s="11">
        <f>100*V26-100</f>
        <v>-10</v>
      </c>
      <c r="AD26" s="11">
        <f t="shared" ref="AD26:AD27" si="7">100*W26-100</f>
        <v>-30</v>
      </c>
      <c r="AE26" s="11">
        <f t="shared" ref="AE26:AE27" si="8">100*X26-100</f>
        <v>-50</v>
      </c>
      <c r="AF26" s="11">
        <f>100*Y26-100</f>
        <v>-70</v>
      </c>
      <c r="AG26" s="11">
        <f>100*Z26-100</f>
        <v>-90</v>
      </c>
      <c r="AJ26" s="5"/>
      <c r="AK26" s="5"/>
      <c r="AL26" s="5"/>
      <c r="AM26" s="5"/>
      <c r="AN26" s="5"/>
      <c r="AO26" s="5"/>
      <c r="AQ26" s="24" t="s">
        <v>108</v>
      </c>
      <c r="AR26" s="4">
        <f>-AR27</f>
        <v>-0.2</v>
      </c>
      <c r="AS26" s="4">
        <f t="shared" ref="AS26:AV26" si="9">-AS27</f>
        <v>-0.6</v>
      </c>
      <c r="AT26" s="10">
        <f t="shared" si="9"/>
        <v>-1.2</v>
      </c>
      <c r="AU26" s="10">
        <f t="shared" si="9"/>
        <v>-2</v>
      </c>
      <c r="AV26" s="10">
        <f t="shared" si="9"/>
        <v>-4</v>
      </c>
    </row>
    <row r="27" spans="2:104" ht="14.4" customHeight="1" x14ac:dyDescent="0.3">
      <c r="C27" s="265"/>
      <c r="D27" s="265"/>
      <c r="E27" s="21" t="s">
        <v>4</v>
      </c>
      <c r="F27" s="265"/>
      <c r="G27" s="265"/>
      <c r="H27" s="265"/>
      <c r="I27" s="265"/>
      <c r="J27" s="265"/>
      <c r="K27" s="265"/>
      <c r="L27" s="21" t="s">
        <v>2</v>
      </c>
      <c r="M27" s="21" t="s">
        <v>12</v>
      </c>
      <c r="N27" s="21" t="s">
        <v>13</v>
      </c>
      <c r="O27" s="75"/>
      <c r="P27" s="47"/>
      <c r="Q27" s="124"/>
      <c r="R27" s="125" t="s">
        <v>2</v>
      </c>
      <c r="U27" s="24" t="s">
        <v>109</v>
      </c>
      <c r="V27" s="4">
        <f>1/V26</f>
        <v>1.1111111111111112</v>
      </c>
      <c r="W27" s="4">
        <f t="shared" ref="W27:X27" si="10">1/W26</f>
        <v>1.4285714285714286</v>
      </c>
      <c r="X27" s="10">
        <f t="shared" si="10"/>
        <v>2</v>
      </c>
      <c r="Y27" s="10">
        <f>1/Y26</f>
        <v>3.3333333333333335</v>
      </c>
      <c r="Z27" s="11">
        <f>1/Z26</f>
        <v>10</v>
      </c>
      <c r="AC27" s="11">
        <f>100*V27-100</f>
        <v>11.111111111111114</v>
      </c>
      <c r="AD27" s="11">
        <f t="shared" si="7"/>
        <v>42.857142857142861</v>
      </c>
      <c r="AE27" s="11">
        <f t="shared" si="8"/>
        <v>100</v>
      </c>
      <c r="AF27" s="11">
        <f>100*Y27-100</f>
        <v>233.33333333333337</v>
      </c>
      <c r="AG27" s="11">
        <f>100*Z27-100</f>
        <v>900</v>
      </c>
      <c r="AJ27" s="5"/>
      <c r="AK27" s="5"/>
      <c r="AL27" s="5"/>
      <c r="AM27" s="5"/>
      <c r="AN27" s="5"/>
      <c r="AO27" s="5"/>
      <c r="AQ27" s="24" t="s">
        <v>109</v>
      </c>
      <c r="AR27" s="4">
        <v>0.2</v>
      </c>
      <c r="AS27" s="4">
        <v>0.6</v>
      </c>
      <c r="AT27" s="10">
        <v>1.2</v>
      </c>
      <c r="AU27" s="10">
        <v>2</v>
      </c>
      <c r="AV27" s="10">
        <v>4</v>
      </c>
    </row>
    <row r="28" spans="2:104" x14ac:dyDescent="0.3">
      <c r="C28" s="25" t="s">
        <v>58</v>
      </c>
      <c r="D28" s="1">
        <v>2.6223000000000001</v>
      </c>
      <c r="E28" s="1">
        <v>0.12889999999999999</v>
      </c>
      <c r="F28" s="1">
        <v>4</v>
      </c>
      <c r="G28" s="1">
        <v>20.34</v>
      </c>
      <c r="H28" s="1" t="s">
        <v>11</v>
      </c>
      <c r="I28" s="1">
        <v>0.1</v>
      </c>
      <c r="J28" s="1">
        <v>2.3473999999999999</v>
      </c>
      <c r="K28" s="1">
        <v>2.8972000000000002</v>
      </c>
      <c r="L28" s="41">
        <v>13.767300000000001</v>
      </c>
      <c r="M28" s="1">
        <v>10.458299999999999</v>
      </c>
      <c r="N28" s="1">
        <v>18.123100000000001</v>
      </c>
      <c r="O28" s="1"/>
      <c r="P28" s="5"/>
      <c r="Q28" s="26" t="str">
        <f>C28</f>
        <v>Mean</v>
      </c>
      <c r="R28" s="138">
        <f>L28</f>
        <v>13.767300000000001</v>
      </c>
      <c r="T28" s="20"/>
      <c r="AJ28" s="5"/>
      <c r="AK28" s="5"/>
      <c r="AL28" s="5"/>
      <c r="AM28" s="4"/>
      <c r="AN28" s="5"/>
      <c r="AO28" s="5"/>
      <c r="AP28" s="5"/>
      <c r="AR28" s="5"/>
      <c r="AS28" s="5"/>
      <c r="AT28" s="5"/>
    </row>
    <row r="29" spans="2:104" ht="15.65" customHeight="1" x14ac:dyDescent="0.3">
      <c r="C29" s="25"/>
      <c r="D29" s="1">
        <v>0</v>
      </c>
      <c r="E29" s="30" t="s">
        <v>64</v>
      </c>
      <c r="F29" s="30" t="s">
        <v>64</v>
      </c>
      <c r="G29" s="30" t="s">
        <v>64</v>
      </c>
      <c r="H29" s="30" t="s">
        <v>64</v>
      </c>
      <c r="I29" s="30" t="s">
        <v>64</v>
      </c>
      <c r="J29" s="30" t="s">
        <v>64</v>
      </c>
      <c r="K29" s="31" t="s">
        <v>64</v>
      </c>
      <c r="L29" s="30" t="s">
        <v>64</v>
      </c>
      <c r="M29" s="30" t="s">
        <v>64</v>
      </c>
      <c r="N29" s="30" t="s">
        <v>64</v>
      </c>
      <c r="O29" s="30"/>
      <c r="P29" s="26"/>
      <c r="Q29" s="46"/>
      <c r="R29" s="51"/>
      <c r="T29" s="20"/>
      <c r="V29" s="55"/>
      <c r="W29" s="55"/>
      <c r="X29" s="56" t="s">
        <v>96</v>
      </c>
      <c r="Y29" s="56"/>
      <c r="Z29" s="55"/>
      <c r="AA29" s="55"/>
      <c r="AB29" s="57"/>
      <c r="AC29" s="55"/>
      <c r="AD29" s="55"/>
      <c r="AE29" s="56" t="s">
        <v>119</v>
      </c>
      <c r="AF29" s="56"/>
      <c r="AG29" s="55"/>
      <c r="AH29" s="55"/>
      <c r="AI29" s="57"/>
      <c r="AJ29" s="55"/>
      <c r="AK29" s="55"/>
      <c r="AL29" s="55"/>
      <c r="AM29" s="56" t="s">
        <v>97</v>
      </c>
      <c r="AN29" s="55"/>
      <c r="AO29" s="55"/>
      <c r="AP29" s="55"/>
      <c r="AQ29" s="57"/>
      <c r="AR29" s="55"/>
      <c r="AS29" s="55"/>
      <c r="AT29" s="56" t="s">
        <v>194</v>
      </c>
      <c r="AU29" s="63"/>
      <c r="AV29" s="57"/>
      <c r="AY29" s="266" t="s">
        <v>210</v>
      </c>
      <c r="AZ29" s="267"/>
      <c r="BA29" s="267"/>
      <c r="BB29" s="267"/>
      <c r="BC29" s="267"/>
      <c r="BD29" s="267"/>
      <c r="BE29" s="268"/>
      <c r="BF29" s="277" t="s">
        <v>208</v>
      </c>
      <c r="BG29" s="278"/>
      <c r="BH29" s="281" t="s">
        <v>211</v>
      </c>
      <c r="BI29" s="282"/>
      <c r="BJ29" s="282"/>
      <c r="BK29" s="282"/>
      <c r="BL29" s="282"/>
      <c r="BM29" s="283"/>
      <c r="BN29" s="284" t="s">
        <v>150</v>
      </c>
      <c r="BO29" s="285"/>
      <c r="BP29" s="285"/>
      <c r="BQ29" s="285"/>
      <c r="BR29" s="285"/>
      <c r="BS29" s="285"/>
      <c r="BT29" s="285"/>
      <c r="BU29" s="285"/>
      <c r="BV29" s="286"/>
      <c r="BY29" s="163"/>
      <c r="BZ29" s="266" t="s">
        <v>169</v>
      </c>
      <c r="CA29" s="267"/>
      <c r="CB29" s="267"/>
      <c r="CC29" s="267"/>
      <c r="CD29" s="267"/>
      <c r="CE29" s="267"/>
      <c r="CF29" s="268"/>
      <c r="CG29" s="277" t="s">
        <v>208</v>
      </c>
      <c r="CH29" s="278"/>
      <c r="CI29" s="281" t="s">
        <v>180</v>
      </c>
      <c r="CJ29" s="282"/>
      <c r="CK29" s="282"/>
      <c r="CL29" s="282"/>
      <c r="CM29" s="282"/>
      <c r="CN29" s="283"/>
      <c r="CO29" s="284" t="s">
        <v>150</v>
      </c>
      <c r="CP29" s="285"/>
      <c r="CQ29" s="285"/>
      <c r="CR29" s="285"/>
      <c r="CS29" s="285"/>
      <c r="CT29" s="285"/>
      <c r="CU29" s="285"/>
      <c r="CV29" s="285"/>
      <c r="CW29" s="286"/>
    </row>
    <row r="30" spans="2:104" ht="14.4" customHeight="1" x14ac:dyDescent="0.3">
      <c r="C30" s="25" t="s">
        <v>41</v>
      </c>
      <c r="D30" s="1">
        <v>2.5476000000000001</v>
      </c>
      <c r="E30" s="1">
        <v>0.1958</v>
      </c>
      <c r="F30" s="1">
        <v>42</v>
      </c>
      <c r="G30" s="1">
        <v>13.01</v>
      </c>
      <c r="H30" s="1" t="s">
        <v>11</v>
      </c>
      <c r="I30" s="1">
        <v>0.1</v>
      </c>
      <c r="J30" s="1">
        <v>2.2183000000000002</v>
      </c>
      <c r="K30" s="1">
        <v>2.8769</v>
      </c>
      <c r="L30" s="1">
        <v>12.776199999999999</v>
      </c>
      <c r="M30" s="1">
        <v>9.1917000000000009</v>
      </c>
      <c r="N30" s="1">
        <v>17.758700000000001</v>
      </c>
      <c r="O30" s="1"/>
      <c r="P30" s="5"/>
      <c r="Q30" s="27" t="str">
        <f>C30</f>
        <v>Mean @ Week 1</v>
      </c>
      <c r="R30" s="10">
        <f>L30</f>
        <v>12.776199999999999</v>
      </c>
      <c r="T30" s="20"/>
      <c r="U30" s="26" t="str">
        <f>IF(ISBLANK(C29),"",C29)</f>
        <v/>
      </c>
      <c r="V30" s="58"/>
      <c r="W30" s="55"/>
      <c r="X30" s="59" t="s">
        <v>103</v>
      </c>
      <c r="Y30" s="59"/>
      <c r="Z30" s="55"/>
      <c r="AA30" s="55"/>
      <c r="AB30" s="57"/>
      <c r="AC30" s="58"/>
      <c r="AD30" s="55"/>
      <c r="AE30" s="59" t="s">
        <v>121</v>
      </c>
      <c r="AF30" s="59"/>
      <c r="AG30" s="55"/>
      <c r="AH30" s="55"/>
      <c r="AI30" s="57"/>
      <c r="AJ30" s="55"/>
      <c r="AK30" s="55"/>
      <c r="AL30" s="59" t="s">
        <v>102</v>
      </c>
      <c r="AM30" s="58"/>
      <c r="AN30" s="58"/>
      <c r="AO30" s="58"/>
      <c r="AP30" s="58" t="s">
        <v>75</v>
      </c>
      <c r="AQ30" s="57"/>
      <c r="AR30" s="55"/>
      <c r="AS30" s="55"/>
      <c r="AT30" s="59" t="s">
        <v>193</v>
      </c>
      <c r="AU30" s="57"/>
      <c r="AV30" s="57"/>
      <c r="AW30" s="258" t="str">
        <f>IF(ISBLANK(U30),"",U30)</f>
        <v/>
      </c>
      <c r="AY30" s="269" t="s">
        <v>175</v>
      </c>
      <c r="AZ30" s="271" t="s">
        <v>152</v>
      </c>
      <c r="BA30" s="273" t="s">
        <v>153</v>
      </c>
      <c r="BB30" s="274"/>
      <c r="BC30" s="275"/>
      <c r="BD30" s="276" t="s">
        <v>154</v>
      </c>
      <c r="BE30" s="276"/>
      <c r="BF30" s="106" t="s">
        <v>171</v>
      </c>
      <c r="BG30" s="107" t="s">
        <v>172</v>
      </c>
      <c r="BH30" s="273" t="str">
        <f>"Effect &amp; re-estimated "&amp;BE32&amp;"% confidence limits"</f>
        <v>Effect &amp; re-estimated 90% confidence limits</v>
      </c>
      <c r="BI30" s="274"/>
      <c r="BJ30" s="274"/>
      <c r="BK30" s="275"/>
      <c r="BL30" s="277" t="s">
        <v>155</v>
      </c>
      <c r="BM30" s="278"/>
      <c r="BN30" s="287" t="e">
        <f>"...beneficial or
substantially "&amp;BF31</f>
        <v>#VALUE!</v>
      </c>
      <c r="BO30" s="288"/>
      <c r="BP30" s="289"/>
      <c r="BQ30" s="293" t="s">
        <v>156</v>
      </c>
      <c r="BR30" s="293"/>
      <c r="BS30" s="294"/>
      <c r="BT30" s="297" t="e">
        <f>"...harmful or 
substantially "&amp;BG31</f>
        <v>#VALUE!</v>
      </c>
      <c r="BU30" s="298"/>
      <c r="BV30" s="299"/>
      <c r="BW30" s="303" t="s">
        <v>157</v>
      </c>
      <c r="BY30" s="259" t="str">
        <f t="shared" ref="BY30" si="11">IF(ISBLANK(U30),"",U30)</f>
        <v/>
      </c>
      <c r="BZ30" s="269" t="s">
        <v>151</v>
      </c>
      <c r="CA30" s="271" t="s">
        <v>152</v>
      </c>
      <c r="CB30" s="273" t="s">
        <v>153</v>
      </c>
      <c r="CC30" s="274"/>
      <c r="CD30" s="275"/>
      <c r="CE30" s="276" t="s">
        <v>154</v>
      </c>
      <c r="CF30" s="276"/>
      <c r="CG30" s="106" t="s">
        <v>171</v>
      </c>
      <c r="CH30" s="107" t="s">
        <v>172</v>
      </c>
      <c r="CI30" s="273" t="str">
        <f>"Effect &amp; re-estimated "&amp;CF32&amp;"% confidence limits"</f>
        <v>Effect &amp; re-estimated 90% confidence limits</v>
      </c>
      <c r="CJ30" s="274"/>
      <c r="CK30" s="274"/>
      <c r="CL30" s="275"/>
      <c r="CM30" s="277" t="s">
        <v>155</v>
      </c>
      <c r="CN30" s="278"/>
      <c r="CO30" s="287" t="e">
        <f>"...beneficial or
substantially "&amp;CG31</f>
        <v>#VALUE!</v>
      </c>
      <c r="CP30" s="288"/>
      <c r="CQ30" s="289"/>
      <c r="CR30" s="293" t="s">
        <v>156</v>
      </c>
      <c r="CS30" s="293"/>
      <c r="CT30" s="294"/>
      <c r="CU30" s="297" t="e">
        <f>"...harmful or 
substantially "&amp;CH31</f>
        <v>#VALUE!</v>
      </c>
      <c r="CV30" s="298"/>
      <c r="CW30" s="299"/>
      <c r="CX30" s="303" t="s">
        <v>157</v>
      </c>
      <c r="CZ30" s="154" t="str">
        <f>IF(ISBLANK(U30),"",U30)</f>
        <v/>
      </c>
    </row>
    <row r="31" spans="2:104" x14ac:dyDescent="0.3">
      <c r="C31" s="25" t="s">
        <v>42</v>
      </c>
      <c r="D31" s="1">
        <v>2.6970000000000001</v>
      </c>
      <c r="E31" s="1">
        <v>0.19389999999999999</v>
      </c>
      <c r="F31" s="1">
        <v>42</v>
      </c>
      <c r="G31" s="1">
        <v>13.91</v>
      </c>
      <c r="H31" s="1" t="s">
        <v>11</v>
      </c>
      <c r="I31" s="1">
        <v>0.1</v>
      </c>
      <c r="J31" s="1">
        <v>2.3708</v>
      </c>
      <c r="K31" s="1">
        <v>3.0232000000000001</v>
      </c>
      <c r="L31" s="1">
        <v>14.8352</v>
      </c>
      <c r="M31" s="1">
        <v>10.7058</v>
      </c>
      <c r="N31" s="1">
        <v>20.557300000000001</v>
      </c>
      <c r="O31" s="1"/>
      <c r="P31" s="5"/>
      <c r="Q31" s="27" t="str">
        <f>C31</f>
        <v>Mean @ Week 6</v>
      </c>
      <c r="R31" s="10">
        <f>L31</f>
        <v>14.8352</v>
      </c>
      <c r="T31" s="64"/>
      <c r="U31" s="43"/>
      <c r="V31" s="60" t="s">
        <v>2</v>
      </c>
      <c r="W31" s="60" t="s">
        <v>12</v>
      </c>
      <c r="X31" s="60" t="s">
        <v>13</v>
      </c>
      <c r="Y31" s="77" t="s">
        <v>141</v>
      </c>
      <c r="Z31" s="60" t="s">
        <v>61</v>
      </c>
      <c r="AA31" s="60" t="s">
        <v>60</v>
      </c>
      <c r="AC31" s="60" t="s">
        <v>2</v>
      </c>
      <c r="AD31" s="60" t="s">
        <v>12</v>
      </c>
      <c r="AE31" s="60" t="s">
        <v>13</v>
      </c>
      <c r="AF31" s="60" t="s">
        <v>230</v>
      </c>
      <c r="AG31" s="60" t="s">
        <v>61</v>
      </c>
      <c r="AH31" s="60" t="s">
        <v>60</v>
      </c>
      <c r="AJ31" s="60" t="s">
        <v>2</v>
      </c>
      <c r="AK31" s="60" t="s">
        <v>12</v>
      </c>
      <c r="AL31" s="60" t="s">
        <v>13</v>
      </c>
      <c r="AM31" s="60" t="s">
        <v>61</v>
      </c>
      <c r="AN31" s="60" t="s">
        <v>60</v>
      </c>
      <c r="AO31" s="60"/>
      <c r="AP31" s="61" t="s">
        <v>83</v>
      </c>
      <c r="AR31" s="60" t="s">
        <v>2</v>
      </c>
      <c r="AS31" s="60" t="s">
        <v>12</v>
      </c>
      <c r="AT31" s="60" t="s">
        <v>13</v>
      </c>
      <c r="AU31" s="62" t="s">
        <v>61</v>
      </c>
      <c r="AV31" s="62" t="s">
        <v>60</v>
      </c>
      <c r="AY31" s="270"/>
      <c r="AZ31" s="272"/>
      <c r="BA31" s="87" t="s">
        <v>158</v>
      </c>
      <c r="BB31" s="88" t="s">
        <v>159</v>
      </c>
      <c r="BC31" s="93" t="s">
        <v>168</v>
      </c>
      <c r="BD31" s="89" t="s">
        <v>160</v>
      </c>
      <c r="BE31" s="90" t="s">
        <v>161</v>
      </c>
      <c r="BF31" s="91" t="e">
        <f>IF(BF32&lt;1,"decr.","incr.")</f>
        <v>#VALUE!</v>
      </c>
      <c r="BG31" s="92" t="e">
        <f>IF(BG32&gt;1,"incr.","decr.")</f>
        <v>#VALUE!</v>
      </c>
      <c r="BH31" s="83" t="s">
        <v>17</v>
      </c>
      <c r="BI31" s="90" t="s">
        <v>162</v>
      </c>
      <c r="BJ31" s="90" t="s">
        <v>163</v>
      </c>
      <c r="BK31" s="93" t="s">
        <v>168</v>
      </c>
      <c r="BL31" s="94" t="s">
        <v>164</v>
      </c>
      <c r="BM31" s="95" t="s">
        <v>165</v>
      </c>
      <c r="BN31" s="290"/>
      <c r="BO31" s="291"/>
      <c r="BP31" s="292"/>
      <c r="BQ31" s="295"/>
      <c r="BR31" s="295"/>
      <c r="BS31" s="296"/>
      <c r="BT31" s="300"/>
      <c r="BU31" s="301"/>
      <c r="BV31" s="302"/>
      <c r="BW31" s="304"/>
      <c r="BX31" s="97" t="s">
        <v>167</v>
      </c>
      <c r="BY31" s="163"/>
      <c r="BZ31" s="270"/>
      <c r="CA31" s="272"/>
      <c r="CB31" s="87" t="s">
        <v>158</v>
      </c>
      <c r="CC31" s="88" t="s">
        <v>159</v>
      </c>
      <c r="CD31" s="93" t="s">
        <v>138</v>
      </c>
      <c r="CE31" s="89" t="s">
        <v>160</v>
      </c>
      <c r="CF31" s="90" t="s">
        <v>161</v>
      </c>
      <c r="CG31" s="217" t="e">
        <f>IF(CG32&lt;0,"decr.","incr.")</f>
        <v>#VALUE!</v>
      </c>
      <c r="CH31" s="218" t="e">
        <f>IF(CH32&gt;0,"incr.","decr.")</f>
        <v>#VALUE!</v>
      </c>
      <c r="CI31" s="83" t="s">
        <v>17</v>
      </c>
      <c r="CJ31" s="90" t="s">
        <v>162</v>
      </c>
      <c r="CK31" s="90" t="s">
        <v>163</v>
      </c>
      <c r="CL31" s="93" t="s">
        <v>138</v>
      </c>
      <c r="CM31" s="94" t="s">
        <v>164</v>
      </c>
      <c r="CN31" s="95" t="s">
        <v>165</v>
      </c>
      <c r="CO31" s="290"/>
      <c r="CP31" s="291"/>
      <c r="CQ31" s="292"/>
      <c r="CR31" s="295"/>
      <c r="CS31" s="295"/>
      <c r="CT31" s="296"/>
      <c r="CU31" s="300"/>
      <c r="CV31" s="301"/>
      <c r="CW31" s="302"/>
      <c r="CX31" s="304"/>
      <c r="CY31" s="96" t="s">
        <v>167</v>
      </c>
    </row>
    <row r="32" spans="2:104" x14ac:dyDescent="0.3">
      <c r="C32" s="25" t="s">
        <v>80</v>
      </c>
      <c r="D32" s="1">
        <v>0.14940000000000001</v>
      </c>
      <c r="E32" s="1">
        <v>0.29220000000000002</v>
      </c>
      <c r="F32" s="1">
        <v>42</v>
      </c>
      <c r="G32" s="1">
        <v>0.51</v>
      </c>
      <c r="H32" s="1">
        <v>0.61180000000000001</v>
      </c>
      <c r="I32" s="1">
        <v>0.1</v>
      </c>
      <c r="J32" s="12">
        <v>-0.34210000000000002</v>
      </c>
      <c r="K32" s="1">
        <v>0.64090000000000003</v>
      </c>
      <c r="L32" s="1">
        <v>1.1612</v>
      </c>
      <c r="M32" s="1">
        <v>0.71030000000000004</v>
      </c>
      <c r="N32" s="1">
        <v>1.8982000000000001</v>
      </c>
      <c r="O32" s="1"/>
      <c r="P32" s="5"/>
      <c r="R32" s="5"/>
      <c r="U32" s="26" t="str">
        <f>C32</f>
        <v>Week 6/Week 1</v>
      </c>
      <c r="V32" s="48">
        <f>L32</f>
        <v>1.1612</v>
      </c>
      <c r="W32" s="48">
        <f>M32</f>
        <v>0.71030000000000004</v>
      </c>
      <c r="X32" s="48">
        <f>N32</f>
        <v>1.8982000000000001</v>
      </c>
      <c r="Y32" s="48">
        <f>SQRT(X32/W32)</f>
        <v>1.6347452239002322</v>
      </c>
      <c r="Z32" s="4">
        <f>$V$26</f>
        <v>0.9</v>
      </c>
      <c r="AA32" s="4">
        <f>$V$27</f>
        <v>1.1111111111111112</v>
      </c>
      <c r="AC32" s="49">
        <f>100*V32-100</f>
        <v>16.120000000000005</v>
      </c>
      <c r="AD32" s="49">
        <f t="shared" ref="AD32" si="12">100*W32-100</f>
        <v>-28.97</v>
      </c>
      <c r="AE32" s="49">
        <f t="shared" ref="AE32" si="13">100*X32-100</f>
        <v>89.820000000000022</v>
      </c>
      <c r="AF32" s="49">
        <f>(AE32-AD32)/2</f>
        <v>59.39500000000001</v>
      </c>
      <c r="AG32" s="11">
        <f t="shared" ref="AG32" si="14">100*Z32-100</f>
        <v>-10</v>
      </c>
      <c r="AH32" s="11">
        <f t="shared" ref="AH32" si="15">100*AA32-100</f>
        <v>11.111111111111114</v>
      </c>
      <c r="AJ32" s="4">
        <f>D32</f>
        <v>0.14940000000000001</v>
      </c>
      <c r="AK32" s="4">
        <f>J32</f>
        <v>-0.34210000000000002</v>
      </c>
      <c r="AL32" s="4">
        <f>K32</f>
        <v>0.64090000000000003</v>
      </c>
      <c r="AM32" s="4">
        <f>LN(Z32)</f>
        <v>-0.10536051565782628</v>
      </c>
      <c r="AN32" s="4">
        <f>LN(AA32)</f>
        <v>0.10536051565782635</v>
      </c>
      <c r="AO32" s="4"/>
      <c r="AP32" s="4">
        <f>SQRT($D$11+$D$13*100/$N$6/L30)</f>
        <v>0.45152811874996718</v>
      </c>
      <c r="AQ32" s="42"/>
      <c r="AR32" s="4">
        <f>AJ32/AP32</f>
        <v>0.33087640347539454</v>
      </c>
      <c r="AS32" s="4">
        <f>AK32/AP32</f>
        <v>-0.75764938171976226</v>
      </c>
      <c r="AT32" s="4">
        <f>AL32/AP32</f>
        <v>1.4194021886705515</v>
      </c>
      <c r="AU32" s="4">
        <f>$AR$26</f>
        <v>-0.2</v>
      </c>
      <c r="AV32" s="4">
        <f>$AR$27</f>
        <v>0.2</v>
      </c>
      <c r="AW32" s="204" t="str">
        <f>U32</f>
        <v>Week 6/Week 1</v>
      </c>
      <c r="AY32" s="108">
        <f>V32</f>
        <v>1.1612</v>
      </c>
      <c r="AZ32" s="109">
        <f>F32</f>
        <v>42</v>
      </c>
      <c r="BA32" s="108">
        <f>W32</f>
        <v>0.71030000000000004</v>
      </c>
      <c r="BB32" s="108">
        <f>X32</f>
        <v>1.8982000000000001</v>
      </c>
      <c r="BC32" s="108">
        <f>SQRT(BB32/BA32)</f>
        <v>1.6347452239002322</v>
      </c>
      <c r="BD32" s="110">
        <f>100*(1-I32)</f>
        <v>90</v>
      </c>
      <c r="BE32" s="102">
        <f>100-2*$BC$7</f>
        <v>90</v>
      </c>
      <c r="BF32" s="108" t="e">
        <f>$P$5*Z32+$Q$5*AA32</f>
        <v>#VALUE!</v>
      </c>
      <c r="BG32" s="108" t="e">
        <f>$Q$5*Z32+$P$5*AA32</f>
        <v>#VALUE!</v>
      </c>
      <c r="BH32" s="103">
        <f>AY32</f>
        <v>1.1612</v>
      </c>
      <c r="BI32" s="103">
        <f>EXP(LN(AY32)-TINV((100-BE32)/100,AZ32)*BX32)</f>
        <v>0.71032475459972189</v>
      </c>
      <c r="BJ32" s="103">
        <f>EXP(LN(AY32)+TINV((100-BE32)/100,AZ32)*BX32)</f>
        <v>1.89826615399295</v>
      </c>
      <c r="BK32" s="103">
        <f>SQRT(BJ32/BI32)</f>
        <v>1.6347452239002325</v>
      </c>
      <c r="BL32" s="118" t="e">
        <f>IF(BN32&lt;$BE$7,IF(MAX(BQ32,BT32)=BQ32,BS32&amp;" trivial; don't use",BV32&amp;" harmful; don't use"),IF(BT32&lt;$BA$7,BP32&amp;" beneficial; use","unclear; don't use"))</f>
        <v>#VALUE!</v>
      </c>
      <c r="BM32" s="118" t="e">
        <f>IF(MIN(BN32,BT32)&gt;$BC$7,"unclear",IF(MAX(BN32,BQ32,BT32)=BN32,BP32&amp;" "&amp;BF31,IF(MAX(BN32,BQ32,BT32)=BQ32,BS32&amp;" trivial",BV32&amp;" "&amp;BG31)))</f>
        <v>#VALUE!</v>
      </c>
      <c r="BN32" s="98" t="e">
        <f>100*IF(LN(BF32)&gt;0,IF(LN(AY32)-LN(BF32)&gt;0,1-TDIST((LN(AY32)-LN(BF32))/BX32,AZ32,1),TDIST((LN(BF32)-LN(AY32))/BX32,AZ32,1)),IF(LN(AY32)-LN(BF32)&gt;0,TDIST((LN(AY32)-LN(BF32))/BX32,AZ32,1),1-TDIST((LN(BF32)-LN(AY32))/BX32,AZ32,1)))</f>
        <v>#VALUE!</v>
      </c>
      <c r="BO32" s="99" t="s">
        <v>166</v>
      </c>
      <c r="BP32" s="100" t="e">
        <f>IF(BN32&lt;$BA$7,$AZ$7,IF(BN32&lt;$BC$7,$BB$7,IF(BN32&lt;$BE$7,$BD$7,IF(BN32&lt;$BG$7,$BF$7,IF(BN32&lt;$BI$7,$BH$7,IF(BN32&lt;$BK$7,$BJ$7,$BL$7))))))</f>
        <v>#VALUE!</v>
      </c>
      <c r="BQ32" s="101" t="e">
        <f>100-BN32-BT32</f>
        <v>#VALUE!</v>
      </c>
      <c r="BR32" s="99" t="s">
        <v>166</v>
      </c>
      <c r="BS32" s="100" t="e">
        <f>IF(BQ32&lt;$BA$7,$AZ$7,IF(BQ32&lt;$BC$7,$BB$7,IF(BQ32&lt;$BE$7,$BD$7,IF(BQ32&lt;$BG$7,$BF$7,IF(BQ32&lt;$BI$7,$BH$7,IF(BQ32&lt;$BK$7,$BJ$7,$BL$7))))))</f>
        <v>#VALUE!</v>
      </c>
      <c r="BT32" s="98" t="e">
        <f>100*IF(LN(BG32)&gt;0,IF(LN(AY32)-LN(BG32)&gt;0,1-TDIST((LN(AY32)-LN(BG32))/BX32,AZ32,1),TDIST((LN(BG32)-LN(AY32))/BX32,AZ32,1)),IF(LN(AY32)-LN(BG32)&gt;0,TDIST((LN(AY32)-LN(BG32))/BX32,AZ32,1),1-TDIST((LN(BG32)-LN(AY32))/BX32,AZ32,1)))</f>
        <v>#VALUE!</v>
      </c>
      <c r="BU32" s="99" t="s">
        <v>166</v>
      </c>
      <c r="BV32" s="100" t="e">
        <f>IF(BT32&lt;$BA$7,$AZ$7,IF(BT32&lt;$BC$7,$BB$7,IF(BT32&lt;$BE$7,$BD$7,IF(BT32&lt;$BG$7,$BF$7,IF(BT32&lt;$BI$7,$BH$7,IF(BT32&lt;$BK$7,$BJ$7,$BL$7))))))</f>
        <v>#VALUE!</v>
      </c>
      <c r="BW32" s="115" t="e">
        <f>BN32/(100-BN32)/(BT32/(100-BT32))</f>
        <v>#VALUE!</v>
      </c>
      <c r="BX32" s="105">
        <f>(LN(BB32)-LN(BA32))/2/TINV(1-BD32/100,AZ32)</f>
        <v>0.2922121804843098</v>
      </c>
      <c r="BY32" s="160" t="str">
        <f t="shared" ref="BY32:BY36" si="16">U32</f>
        <v>Week 6/Week 1</v>
      </c>
      <c r="BZ32" s="111">
        <f>AR32</f>
        <v>0.33087640347539454</v>
      </c>
      <c r="CA32" s="109">
        <f>F32</f>
        <v>42</v>
      </c>
      <c r="CB32" s="111">
        <f>AS32</f>
        <v>-0.75764938171976226</v>
      </c>
      <c r="CC32" s="111">
        <f>AT32</f>
        <v>1.4194021886705515</v>
      </c>
      <c r="CD32" s="111">
        <f>(CC32-CB32)/2</f>
        <v>1.0885257851951569</v>
      </c>
      <c r="CE32" s="109">
        <f>100*(1-I32)</f>
        <v>90</v>
      </c>
      <c r="CF32" s="102">
        <f>100-2*$BC$7</f>
        <v>90</v>
      </c>
      <c r="CG32" s="233" t="e">
        <f>$P$5*AU32+$Q$5*AV32</f>
        <v>#VALUE!</v>
      </c>
      <c r="CH32" s="233" t="e">
        <f>$Q$5*AU32+$P$5*AV32</f>
        <v>#VALUE!</v>
      </c>
      <c r="CI32" s="117">
        <f>BZ32</f>
        <v>0.33087640347539454</v>
      </c>
      <c r="CJ32" s="117">
        <f>BZ32-TINV((100-CF32)/100,CA32)*CY32</f>
        <v>-0.75764938171976226</v>
      </c>
      <c r="CK32" s="117">
        <f>BZ32+TINV((100-CF32)/100,CA32)*CY32</f>
        <v>1.4194021886705515</v>
      </c>
      <c r="CL32" s="117">
        <f>(CK32-CJ32)/2</f>
        <v>1.0885257851951569</v>
      </c>
      <c r="CM32" s="118" t="e">
        <f>IF(CO32&lt;$BE$7,IF(MAX(CR32,CU32)=CR32,CT32&amp;" trivial; don't use",CW32&amp;" harmful; don't use"),IF(CU32&lt;$BA$7,CQ32&amp;" beneficial; use","unclear; don't use"))</f>
        <v>#VALUE!</v>
      </c>
      <c r="CN32" s="118" t="e">
        <f>IF(MIN(CO32,CU32)&gt;$BC$7,"unclear",IF(MAX(CO32,CR32,CU32)=CO32,CQ32&amp;" "&amp;CG31,IF(MAX(CO32,CR32,CU32)=CR32,CT32&amp;" trivial",CW32&amp;" "&amp;CH31)))</f>
        <v>#VALUE!</v>
      </c>
      <c r="CO32" s="112" t="e">
        <f>100*IF(CG32&gt;0,IF(BZ32-CG32&gt;0,1-TDIST((BZ32-CG32)/CY32,CA32,1),TDIST((CG32-BZ32)/CY32,CA32,1)),IF(BZ32-CG32&gt;0,TDIST((BZ32-CG32)/CY32,CA32,1),1-TDIST((CG32-BZ32)/CY32,CA32,1)))</f>
        <v>#VALUE!</v>
      </c>
      <c r="CP32" s="113" t="s">
        <v>166</v>
      </c>
      <c r="CQ32" s="100" t="e">
        <f>IF(CO32&lt;$BA$7,$AZ$7,IF(CO32&lt;$BC$7,$BB$7,IF(CO32&lt;$BE$7,$BD$7,IF(CO32&lt;$BG$7,$BF$7,IF(CO32&lt;$BI$7,$BH$7,IF(CO32&lt;$BK$7,$BJ$7,$BL$7))))))</f>
        <v>#VALUE!</v>
      </c>
      <c r="CR32" s="114" t="e">
        <f>100-CO32-CU32</f>
        <v>#VALUE!</v>
      </c>
      <c r="CS32" s="113" t="s">
        <v>166</v>
      </c>
      <c r="CT32" s="100" t="e">
        <f>IF(CR32&lt;$BA$7,$AZ$7,IF(CR32&lt;$BC$7,$BB$7,IF(CR32&lt;$BE$7,$BD$7,IF(CR32&lt;$BG$7,$BF$7,IF(CR32&lt;$BI$7,$BH$7,IF(CR32&lt;$BK$7,$BJ$7,$BL$7))))))</f>
        <v>#VALUE!</v>
      </c>
      <c r="CU32" s="112" t="e">
        <f>100*IF(CH32&gt;0,IF(BZ32-CH32&gt;0,1-TDIST((BZ32-CH32)/CY32,CA32,1),TDIST((CH32-BZ32)/CY32,CA32,1)),IF(BZ32-CH32&gt;0,TDIST((BZ32-CH32)/CY32,CA32,1),1-TDIST((CH32-BZ32)/CY32,CA32,1)))</f>
        <v>#VALUE!</v>
      </c>
      <c r="CV32" s="113" t="s">
        <v>166</v>
      </c>
      <c r="CW32" s="100" t="e">
        <f>IF(CU32&lt;$BA$7,$AZ$7,IF(CU32&lt;$BC$7,$BB$7,IF(CU32&lt;$BE$7,$BD$7,IF(CU32&lt;$BG$7,$BF$7,IF(CU32&lt;$BI$7,$BH$7,IF(CU32&lt;$BK$7,$BJ$7,$BL$7))))))</f>
        <v>#VALUE!</v>
      </c>
      <c r="CX32" s="115" t="e">
        <f>CO32/(100-CO32)/(CU32/(100-CU32))</f>
        <v>#VALUE!</v>
      </c>
      <c r="CY32" s="105">
        <f>(CC32-CB32)/2/TINV(1-CE32/100,CA32)</f>
        <v>0.64717991586522527</v>
      </c>
      <c r="CZ32" s="258" t="str">
        <f t="shared" ref="CZ32" si="17">U32</f>
        <v>Week 6/Week 1</v>
      </c>
    </row>
    <row r="33" spans="3:104" ht="16.3" x14ac:dyDescent="0.3">
      <c r="C33" s="25"/>
      <c r="D33" s="1">
        <v>0</v>
      </c>
      <c r="E33" s="30" t="s">
        <v>64</v>
      </c>
      <c r="F33" s="30" t="s">
        <v>64</v>
      </c>
      <c r="G33" s="30" t="s">
        <v>64</v>
      </c>
      <c r="H33" s="30" t="s">
        <v>64</v>
      </c>
      <c r="I33" s="30" t="s">
        <v>64</v>
      </c>
      <c r="J33" s="30" t="s">
        <v>64</v>
      </c>
      <c r="K33" s="31" t="s">
        <v>64</v>
      </c>
      <c r="L33" s="30" t="s">
        <v>64</v>
      </c>
      <c r="M33" s="30" t="s">
        <v>64</v>
      </c>
      <c r="N33" s="30" t="s">
        <v>64</v>
      </c>
      <c r="O33" s="30"/>
      <c r="P33" s="26"/>
      <c r="Q33" s="46"/>
      <c r="R33" s="51"/>
      <c r="U33" s="52"/>
      <c r="X33" s="33"/>
      <c r="Y33" s="33"/>
      <c r="Z33" s="5"/>
      <c r="AA33" s="5"/>
      <c r="AC33" s="66"/>
      <c r="AD33" s="66"/>
      <c r="AE33" s="67"/>
      <c r="AF33" s="67"/>
      <c r="AG33" s="68"/>
      <c r="AH33" s="68"/>
      <c r="AJ33" s="5"/>
      <c r="AK33" s="5"/>
      <c r="AL33" s="7"/>
      <c r="AM33" s="5"/>
      <c r="AN33" s="5"/>
      <c r="AO33" s="5"/>
      <c r="AP33" s="8"/>
      <c r="AR33" s="5"/>
      <c r="AS33" s="5"/>
      <c r="AT33" s="5"/>
      <c r="AU33" s="9"/>
      <c r="AV33" s="5"/>
      <c r="AY33" s="266" t="s">
        <v>210</v>
      </c>
      <c r="AZ33" s="267"/>
      <c r="BA33" s="267"/>
      <c r="BB33" s="267"/>
      <c r="BC33" s="267"/>
      <c r="BD33" s="267"/>
      <c r="BE33" s="268"/>
      <c r="BF33" s="277" t="s">
        <v>208</v>
      </c>
      <c r="BG33" s="278"/>
      <c r="BH33" s="281" t="s">
        <v>211</v>
      </c>
      <c r="BI33" s="282"/>
      <c r="BJ33" s="282"/>
      <c r="BK33" s="282"/>
      <c r="BL33" s="282"/>
      <c r="BM33" s="283"/>
      <c r="BN33" s="284" t="s">
        <v>150</v>
      </c>
      <c r="BO33" s="285"/>
      <c r="BP33" s="285"/>
      <c r="BQ33" s="285"/>
      <c r="BR33" s="285"/>
      <c r="BS33" s="285"/>
      <c r="BT33" s="285"/>
      <c r="BU33" s="285"/>
      <c r="BV33" s="286"/>
      <c r="BY33" s="163"/>
      <c r="BZ33" s="266" t="s">
        <v>169</v>
      </c>
      <c r="CA33" s="267"/>
      <c r="CB33" s="267"/>
      <c r="CC33" s="267"/>
      <c r="CD33" s="267"/>
      <c r="CE33" s="267"/>
      <c r="CF33" s="268"/>
      <c r="CG33" s="277" t="s">
        <v>208</v>
      </c>
      <c r="CH33" s="278"/>
      <c r="CI33" s="281" t="s">
        <v>180</v>
      </c>
      <c r="CJ33" s="282"/>
      <c r="CK33" s="282"/>
      <c r="CL33" s="282"/>
      <c r="CM33" s="282"/>
      <c r="CN33" s="283"/>
      <c r="CO33" s="284" t="s">
        <v>150</v>
      </c>
      <c r="CP33" s="285"/>
      <c r="CQ33" s="285"/>
      <c r="CR33" s="285"/>
      <c r="CS33" s="285"/>
      <c r="CT33" s="285"/>
      <c r="CU33" s="285"/>
      <c r="CV33" s="285"/>
      <c r="CW33" s="286"/>
    </row>
    <row r="34" spans="3:104" x14ac:dyDescent="0.3">
      <c r="C34" s="25" t="s">
        <v>43</v>
      </c>
      <c r="D34" s="1">
        <v>2.7155999999999998</v>
      </c>
      <c r="E34" s="1">
        <v>0.1641</v>
      </c>
      <c r="F34" s="1">
        <v>42</v>
      </c>
      <c r="G34" s="1">
        <v>16.55</v>
      </c>
      <c r="H34" s="1" t="s">
        <v>11</v>
      </c>
      <c r="I34" s="1">
        <v>0.1</v>
      </c>
      <c r="J34" s="1">
        <v>2.4396</v>
      </c>
      <c r="K34" s="1">
        <v>2.9916999999999998</v>
      </c>
      <c r="L34" s="1">
        <v>15.114100000000001</v>
      </c>
      <c r="M34" s="1">
        <v>11.468299999999999</v>
      </c>
      <c r="N34" s="1">
        <v>19.919</v>
      </c>
      <c r="O34" s="1"/>
      <c r="P34" s="5"/>
      <c r="Q34" s="27" t="str">
        <f>C34</f>
        <v>Mean @ -1SD MTPf</v>
      </c>
      <c r="R34" s="10">
        <f t="shared" ref="R34:R35" si="18">L34</f>
        <v>15.114100000000001</v>
      </c>
      <c r="U34" s="26" t="str">
        <f>IF(ISBLANK(C33),"",C33)</f>
        <v/>
      </c>
      <c r="V34" s="14"/>
      <c r="X34" s="8" t="s">
        <v>103</v>
      </c>
      <c r="Y34" s="8"/>
      <c r="Z34" s="5"/>
      <c r="AA34" s="5"/>
      <c r="AC34" s="69"/>
      <c r="AD34" s="66"/>
      <c r="AE34" s="11" t="s">
        <v>121</v>
      </c>
      <c r="AF34" s="11"/>
      <c r="AG34" s="68"/>
      <c r="AH34" s="68"/>
      <c r="AJ34" s="5"/>
      <c r="AK34" s="5"/>
      <c r="AL34" s="8" t="s">
        <v>102</v>
      </c>
      <c r="AM34" s="4"/>
      <c r="AN34" s="4"/>
      <c r="AO34" s="4"/>
      <c r="AP34" s="4" t="s">
        <v>75</v>
      </c>
      <c r="AR34" s="5"/>
      <c r="AS34" s="5"/>
      <c r="AT34" s="59" t="s">
        <v>193</v>
      </c>
      <c r="AU34" s="5"/>
      <c r="AV34" s="5"/>
      <c r="AW34" s="258" t="str">
        <f t="shared" ref="AW34" si="19">IF(ISBLANK(U34),"",U34)</f>
        <v/>
      </c>
      <c r="AY34" s="269" t="s">
        <v>175</v>
      </c>
      <c r="AZ34" s="271" t="s">
        <v>152</v>
      </c>
      <c r="BA34" s="273" t="s">
        <v>153</v>
      </c>
      <c r="BB34" s="274"/>
      <c r="BC34" s="275"/>
      <c r="BD34" s="276" t="s">
        <v>154</v>
      </c>
      <c r="BE34" s="276"/>
      <c r="BF34" s="106" t="s">
        <v>171</v>
      </c>
      <c r="BG34" s="107" t="s">
        <v>172</v>
      </c>
      <c r="BH34" s="273" t="str">
        <f>"Effect &amp; re-estimated "&amp;BE36&amp;"% confidence limits"</f>
        <v>Effect &amp; re-estimated 90% confidence limits</v>
      </c>
      <c r="BI34" s="274"/>
      <c r="BJ34" s="274"/>
      <c r="BK34" s="275"/>
      <c r="BL34" s="277" t="s">
        <v>155</v>
      </c>
      <c r="BM34" s="278"/>
      <c r="BN34" s="287" t="e">
        <f>"...beneficial or
substantially "&amp;BF35</f>
        <v>#VALUE!</v>
      </c>
      <c r="BO34" s="288"/>
      <c r="BP34" s="289"/>
      <c r="BQ34" s="293" t="s">
        <v>156</v>
      </c>
      <c r="BR34" s="293"/>
      <c r="BS34" s="294"/>
      <c r="BT34" s="297" t="e">
        <f>"...harmful or 
substantially "&amp;BG35</f>
        <v>#VALUE!</v>
      </c>
      <c r="BU34" s="298"/>
      <c r="BV34" s="299"/>
      <c r="BW34" s="303" t="s">
        <v>157</v>
      </c>
      <c r="BY34" s="259" t="str">
        <f t="shared" ref="BY34" si="20">IF(ISBLANK(U34),"",U34)</f>
        <v/>
      </c>
      <c r="BZ34" s="269" t="s">
        <v>151</v>
      </c>
      <c r="CA34" s="271" t="s">
        <v>152</v>
      </c>
      <c r="CB34" s="273" t="s">
        <v>153</v>
      </c>
      <c r="CC34" s="274"/>
      <c r="CD34" s="275"/>
      <c r="CE34" s="276" t="s">
        <v>154</v>
      </c>
      <c r="CF34" s="276"/>
      <c r="CG34" s="106" t="s">
        <v>171</v>
      </c>
      <c r="CH34" s="107" t="s">
        <v>172</v>
      </c>
      <c r="CI34" s="273" t="str">
        <f>"Effect &amp; re-estimated "&amp;CF36&amp;"% confidence limits"</f>
        <v>Effect &amp; re-estimated 90% confidence limits</v>
      </c>
      <c r="CJ34" s="274"/>
      <c r="CK34" s="274"/>
      <c r="CL34" s="275"/>
      <c r="CM34" s="277" t="s">
        <v>155</v>
      </c>
      <c r="CN34" s="278"/>
      <c r="CO34" s="287" t="e">
        <f>"...beneficial or
substantially "&amp;CG35</f>
        <v>#VALUE!</v>
      </c>
      <c r="CP34" s="288"/>
      <c r="CQ34" s="289"/>
      <c r="CR34" s="293" t="s">
        <v>156</v>
      </c>
      <c r="CS34" s="293"/>
      <c r="CT34" s="294"/>
      <c r="CU34" s="297" t="e">
        <f>"...harmful or 
substantially "&amp;CH35</f>
        <v>#VALUE!</v>
      </c>
      <c r="CV34" s="298"/>
      <c r="CW34" s="299"/>
      <c r="CX34" s="303" t="s">
        <v>157</v>
      </c>
      <c r="CZ34" s="154" t="str">
        <f t="shared" ref="CZ34" si="21">IF(ISBLANK(C33),"",C33)</f>
        <v/>
      </c>
    </row>
    <row r="35" spans="3:104" x14ac:dyDescent="0.3">
      <c r="C35" s="25" t="s">
        <v>44</v>
      </c>
      <c r="D35" s="1">
        <v>2.5289999999999999</v>
      </c>
      <c r="E35" s="1">
        <v>0.16170000000000001</v>
      </c>
      <c r="F35" s="1">
        <v>42</v>
      </c>
      <c r="G35" s="1">
        <v>15.64</v>
      </c>
      <c r="H35" s="1" t="s">
        <v>11</v>
      </c>
      <c r="I35" s="1">
        <v>0.1</v>
      </c>
      <c r="J35" s="1">
        <v>2.2568999999999999</v>
      </c>
      <c r="K35" s="1">
        <v>2.8010000000000002</v>
      </c>
      <c r="L35" s="1">
        <v>12.5404</v>
      </c>
      <c r="M35" s="1">
        <v>9.5536999999999992</v>
      </c>
      <c r="N35" s="1">
        <v>16.460799999999999</v>
      </c>
      <c r="O35" s="1"/>
      <c r="P35" s="5"/>
      <c r="Q35" s="27" t="str">
        <f>C35</f>
        <v>Mean @ +1SD MTPf</v>
      </c>
      <c r="R35" s="10">
        <f t="shared" si="18"/>
        <v>12.5404</v>
      </c>
      <c r="T35" s="43"/>
      <c r="U35" s="65"/>
      <c r="V35" s="60" t="s">
        <v>2</v>
      </c>
      <c r="W35" s="60" t="s">
        <v>12</v>
      </c>
      <c r="X35" s="60" t="s">
        <v>13</v>
      </c>
      <c r="Y35" s="77" t="s">
        <v>141</v>
      </c>
      <c r="Z35" s="60" t="s">
        <v>61</v>
      </c>
      <c r="AA35" s="60" t="s">
        <v>60</v>
      </c>
      <c r="AC35" s="70" t="s">
        <v>2</v>
      </c>
      <c r="AD35" s="70" t="s">
        <v>12</v>
      </c>
      <c r="AE35" s="70" t="s">
        <v>13</v>
      </c>
      <c r="AF35" s="60" t="s">
        <v>230</v>
      </c>
      <c r="AG35" s="70" t="s">
        <v>61</v>
      </c>
      <c r="AH35" s="70" t="s">
        <v>60</v>
      </c>
      <c r="AJ35" s="60" t="s">
        <v>2</v>
      </c>
      <c r="AK35" s="60" t="s">
        <v>12</v>
      </c>
      <c r="AL35" s="60" t="s">
        <v>13</v>
      </c>
      <c r="AM35" s="60" t="s">
        <v>61</v>
      </c>
      <c r="AN35" s="60" t="s">
        <v>60</v>
      </c>
      <c r="AO35" s="60"/>
      <c r="AP35" s="61" t="s">
        <v>83</v>
      </c>
      <c r="AR35" s="60" t="s">
        <v>2</v>
      </c>
      <c r="AS35" s="60" t="s">
        <v>12</v>
      </c>
      <c r="AT35" s="60" t="s">
        <v>13</v>
      </c>
      <c r="AU35" s="62" t="s">
        <v>61</v>
      </c>
      <c r="AV35" s="62" t="s">
        <v>60</v>
      </c>
      <c r="AY35" s="270"/>
      <c r="AZ35" s="272"/>
      <c r="BA35" s="87" t="s">
        <v>158</v>
      </c>
      <c r="BB35" s="88" t="s">
        <v>159</v>
      </c>
      <c r="BC35" s="93" t="s">
        <v>168</v>
      </c>
      <c r="BD35" s="89" t="s">
        <v>160</v>
      </c>
      <c r="BE35" s="90" t="s">
        <v>161</v>
      </c>
      <c r="BF35" s="91" t="e">
        <f>IF(BF36&lt;1,"decr.","incr.")</f>
        <v>#VALUE!</v>
      </c>
      <c r="BG35" s="92" t="e">
        <f>IF(BG36&gt;1,"incr.","decr.")</f>
        <v>#VALUE!</v>
      </c>
      <c r="BH35" s="83" t="s">
        <v>17</v>
      </c>
      <c r="BI35" s="90" t="s">
        <v>162</v>
      </c>
      <c r="BJ35" s="90" t="s">
        <v>163</v>
      </c>
      <c r="BK35" s="93" t="s">
        <v>168</v>
      </c>
      <c r="BL35" s="94" t="s">
        <v>164</v>
      </c>
      <c r="BM35" s="95" t="s">
        <v>165</v>
      </c>
      <c r="BN35" s="290"/>
      <c r="BO35" s="291"/>
      <c r="BP35" s="292"/>
      <c r="BQ35" s="295"/>
      <c r="BR35" s="295"/>
      <c r="BS35" s="296"/>
      <c r="BT35" s="300"/>
      <c r="BU35" s="301"/>
      <c r="BV35" s="302"/>
      <c r="BW35" s="304"/>
      <c r="BX35" s="97" t="s">
        <v>167</v>
      </c>
      <c r="BY35" s="163"/>
      <c r="BZ35" s="270"/>
      <c r="CA35" s="272"/>
      <c r="CB35" s="87" t="s">
        <v>158</v>
      </c>
      <c r="CC35" s="88" t="s">
        <v>159</v>
      </c>
      <c r="CD35" s="93" t="s">
        <v>138</v>
      </c>
      <c r="CE35" s="89" t="s">
        <v>160</v>
      </c>
      <c r="CF35" s="90" t="s">
        <v>161</v>
      </c>
      <c r="CG35" s="217" t="e">
        <f>IF(CG36&lt;0,"decr.","incr.")</f>
        <v>#VALUE!</v>
      </c>
      <c r="CH35" s="218" t="e">
        <f>IF(CH36&gt;0,"incr.","decr.")</f>
        <v>#VALUE!</v>
      </c>
      <c r="CI35" s="83" t="s">
        <v>17</v>
      </c>
      <c r="CJ35" s="90" t="s">
        <v>162</v>
      </c>
      <c r="CK35" s="90" t="s">
        <v>163</v>
      </c>
      <c r="CL35" s="93" t="s">
        <v>138</v>
      </c>
      <c r="CM35" s="94" t="s">
        <v>164</v>
      </c>
      <c r="CN35" s="95" t="s">
        <v>165</v>
      </c>
      <c r="CO35" s="290"/>
      <c r="CP35" s="291"/>
      <c r="CQ35" s="292"/>
      <c r="CR35" s="295"/>
      <c r="CS35" s="295"/>
      <c r="CT35" s="296"/>
      <c r="CU35" s="300"/>
      <c r="CV35" s="301"/>
      <c r="CW35" s="302"/>
      <c r="CX35" s="304"/>
      <c r="CY35" s="96" t="s">
        <v>167</v>
      </c>
    </row>
    <row r="36" spans="3:104" x14ac:dyDescent="0.3">
      <c r="C36" s="25" t="s">
        <v>81</v>
      </c>
      <c r="D36" s="12">
        <v>-0.1867</v>
      </c>
      <c r="E36" s="1">
        <v>0.19919999999999999</v>
      </c>
      <c r="F36" s="1">
        <v>42</v>
      </c>
      <c r="G36" s="12">
        <v>-0.94</v>
      </c>
      <c r="H36" s="1">
        <v>0.35399999999999998</v>
      </c>
      <c r="I36" s="1">
        <v>0.1</v>
      </c>
      <c r="J36" s="12">
        <v>-0.52170000000000005</v>
      </c>
      <c r="K36" s="1">
        <v>0.1484</v>
      </c>
      <c r="L36" s="1">
        <v>0.82969999999999999</v>
      </c>
      <c r="M36" s="1">
        <v>0.59350000000000003</v>
      </c>
      <c r="N36" s="1">
        <v>1.1598999999999999</v>
      </c>
      <c r="O36" s="1"/>
      <c r="U36" s="26" t="str">
        <f>C36</f>
        <v>MTPf +1SD/-1SD</v>
      </c>
      <c r="V36" s="48">
        <f>L36</f>
        <v>0.82969999999999999</v>
      </c>
      <c r="W36" s="48">
        <f>M36</f>
        <v>0.59350000000000003</v>
      </c>
      <c r="X36" s="48">
        <f>N36</f>
        <v>1.1598999999999999</v>
      </c>
      <c r="Y36" s="48">
        <f>SQRT(X36/W36)</f>
        <v>1.3979766338938668</v>
      </c>
      <c r="Z36" s="4">
        <f>$V$26</f>
        <v>0.9</v>
      </c>
      <c r="AA36" s="4">
        <f>$V$27</f>
        <v>1.1111111111111112</v>
      </c>
      <c r="AC36" s="49">
        <f>100*V36-100</f>
        <v>-17.03</v>
      </c>
      <c r="AD36" s="49">
        <f t="shared" ref="AD36" si="22">100*W36-100</f>
        <v>-40.65</v>
      </c>
      <c r="AE36" s="49">
        <f t="shared" ref="AE36" si="23">100*X36-100</f>
        <v>15.989999999999995</v>
      </c>
      <c r="AF36" s="49">
        <f>(AE36-AD36)/2</f>
        <v>28.319999999999997</v>
      </c>
      <c r="AG36" s="11">
        <f t="shared" ref="AG36" si="24">100*Z36-100</f>
        <v>-10</v>
      </c>
      <c r="AH36" s="11">
        <f t="shared" ref="AH36" si="25">100*AA36-100</f>
        <v>11.111111111111114</v>
      </c>
      <c r="AJ36" s="4">
        <f>D36</f>
        <v>-0.1867</v>
      </c>
      <c r="AK36" s="4">
        <f>J36</f>
        <v>-0.52170000000000005</v>
      </c>
      <c r="AL36" s="4">
        <f>K36</f>
        <v>0.1484</v>
      </c>
      <c r="AM36" s="4">
        <f>LN(Z36)</f>
        <v>-0.10536051565782628</v>
      </c>
      <c r="AN36" s="4">
        <f>LN(AA36)</f>
        <v>0.10536051565782635</v>
      </c>
      <c r="AO36" s="4"/>
      <c r="AP36" s="4">
        <f>SQRT($D$11+$D$13*100/$N$6/L34)</f>
        <v>0.43080133625684969</v>
      </c>
      <c r="AQ36" s="42"/>
      <c r="AR36" s="4">
        <f>AJ36/AP36</f>
        <v>-0.43337841433408852</v>
      </c>
      <c r="AS36" s="4">
        <f>AK36/AP36</f>
        <v>-1.2109990292345689</v>
      </c>
      <c r="AT36" s="4">
        <f>AL36/AP36</f>
        <v>0.34447432612307843</v>
      </c>
      <c r="AU36" s="4">
        <f>$AR$26</f>
        <v>-0.2</v>
      </c>
      <c r="AV36" s="143">
        <f>$AR$27</f>
        <v>0.2</v>
      </c>
      <c r="AW36" s="204" t="str">
        <f t="shared" ref="AW36" si="26">U36</f>
        <v>MTPf +1SD/-1SD</v>
      </c>
      <c r="AY36" s="108">
        <f>V36</f>
        <v>0.82969999999999999</v>
      </c>
      <c r="AZ36" s="109">
        <f>F36</f>
        <v>42</v>
      </c>
      <c r="BA36" s="108">
        <f>W36</f>
        <v>0.59350000000000003</v>
      </c>
      <c r="BB36" s="108">
        <f>X36</f>
        <v>1.1598999999999999</v>
      </c>
      <c r="BC36" s="108">
        <f>SQRT(BB36/BA36)</f>
        <v>1.3979766338938668</v>
      </c>
      <c r="BD36" s="110">
        <f>100*(1-I36)</f>
        <v>90</v>
      </c>
      <c r="BE36" s="102">
        <f>100-2*$BC$7</f>
        <v>90</v>
      </c>
      <c r="BF36" s="108" t="e">
        <f>$P$5*Z36+$Q$5*AA36</f>
        <v>#VALUE!</v>
      </c>
      <c r="BG36" s="108" t="e">
        <f>$Q$5*Z36+$P$5*AA36</f>
        <v>#VALUE!</v>
      </c>
      <c r="BH36" s="103">
        <f>AY36</f>
        <v>0.82969999999999999</v>
      </c>
      <c r="BI36" s="103">
        <f>EXP(LN(AY36)-TINV((100-BE36)/100,AZ36)*BX36)</f>
        <v>0.59350062074284293</v>
      </c>
      <c r="BJ36" s="103">
        <f>EXP(LN(AY36)+TINV((100-BE36)/100,AZ36)*BX36)</f>
        <v>1.1599012131417412</v>
      </c>
      <c r="BK36" s="103">
        <f>SQRT(BJ36/BI36)</f>
        <v>1.3979766338938666</v>
      </c>
      <c r="BL36" s="118" t="e">
        <f>IF(BN36&lt;$BE$7,IF(MAX(BQ36,BT36)=BQ36,BS36&amp;" trivial; don't use",BV36&amp;" harmful; don't use"),IF(BT36&lt;$BA$7,BP36&amp;" beneficial; use","unclear; don't use"))</f>
        <v>#VALUE!</v>
      </c>
      <c r="BM36" s="118" t="e">
        <f>IF(MIN(BN36,BT36)&gt;$BC$7,"unclear",IF(MAX(BN36,BQ36,BT36)=BN36,BP36&amp;" "&amp;BF35,IF(MAX(BN36,BQ36,BT36)=BQ36,BS36&amp;" trivial",BV36&amp;" "&amp;BG35)))</f>
        <v>#VALUE!</v>
      </c>
      <c r="BN36" s="98" t="e">
        <f>100*IF(LN(BF36)&gt;0,IF(LN(AY36)-LN(BF36)&gt;0,1-TDIST((LN(AY36)-LN(BF36))/BX36,AZ36,1),TDIST((LN(BF36)-LN(AY36))/BX36,AZ36,1)),IF(LN(AY36)-LN(BF36)&gt;0,TDIST((LN(AY36)-LN(BF36))/BX36,AZ36,1),1-TDIST((LN(BF36)-LN(AY36))/BX36,AZ36,1)))</f>
        <v>#VALUE!</v>
      </c>
      <c r="BO36" s="99" t="s">
        <v>166</v>
      </c>
      <c r="BP36" s="100" t="e">
        <f>IF(BN36&lt;$BA$7,$AZ$7,IF(BN36&lt;$BC$7,$BB$7,IF(BN36&lt;$BE$7,$BD$7,IF(BN36&lt;$BG$7,$BF$7,IF(BN36&lt;$BI$7,$BH$7,IF(BN36&lt;$BK$7,$BJ$7,$BL$7))))))</f>
        <v>#VALUE!</v>
      </c>
      <c r="BQ36" s="101" t="e">
        <f>100-BN36-BT36</f>
        <v>#VALUE!</v>
      </c>
      <c r="BR36" s="99" t="s">
        <v>166</v>
      </c>
      <c r="BS36" s="100" t="e">
        <f>IF(BQ36&lt;$BA$7,$AZ$7,IF(BQ36&lt;$BC$7,$BB$7,IF(BQ36&lt;$BE$7,$BD$7,IF(BQ36&lt;$BG$7,$BF$7,IF(BQ36&lt;$BI$7,$BH$7,IF(BQ36&lt;$BK$7,$BJ$7,$BL$7))))))</f>
        <v>#VALUE!</v>
      </c>
      <c r="BT36" s="98" t="e">
        <f>100*IF(LN(BG36)&gt;0,IF(LN(AY36)-LN(BG36)&gt;0,1-TDIST((LN(AY36)-LN(BG36))/BX36,AZ36,1),TDIST((LN(BG36)-LN(AY36))/BX36,AZ36,1)),IF(LN(AY36)-LN(BG36)&gt;0,TDIST((LN(AY36)-LN(BG36))/BX36,AZ36,1),1-TDIST((LN(BG36)-LN(AY36))/BX36,AZ36,1)))</f>
        <v>#VALUE!</v>
      </c>
      <c r="BU36" s="99" t="s">
        <v>166</v>
      </c>
      <c r="BV36" s="100" t="e">
        <f>IF(BT36&lt;$BA$7,$AZ$7,IF(BT36&lt;$BC$7,$BB$7,IF(BT36&lt;$BE$7,$BD$7,IF(BT36&lt;$BG$7,$BF$7,IF(BT36&lt;$BI$7,$BH$7,IF(BT36&lt;$BK$7,$BJ$7,$BL$7))))))</f>
        <v>#VALUE!</v>
      </c>
      <c r="BW36" s="115" t="e">
        <f>BN36/(100-BN36)/(BT36/(100-BT36))</f>
        <v>#VALUE!</v>
      </c>
      <c r="BX36" s="105">
        <f>(LN(BB36)-LN(BA36))/2/TINV(1-BD36/100,AZ36)</f>
        <v>0.19918871556117806</v>
      </c>
      <c r="BY36" s="160" t="str">
        <f t="shared" si="16"/>
        <v>MTPf +1SD/-1SD</v>
      </c>
      <c r="BZ36" s="111">
        <f>AR36</f>
        <v>-0.43337841433408852</v>
      </c>
      <c r="CA36" s="109">
        <f>F36</f>
        <v>42</v>
      </c>
      <c r="CB36" s="111">
        <f>AS36</f>
        <v>-1.2109990292345689</v>
      </c>
      <c r="CC36" s="111">
        <f>AT36</f>
        <v>0.34447432612307843</v>
      </c>
      <c r="CD36" s="111">
        <f>(CC36-CB36)/2</f>
        <v>0.77773667767882371</v>
      </c>
      <c r="CE36" s="109">
        <f>100*(1-I36)</f>
        <v>90</v>
      </c>
      <c r="CF36" s="102">
        <f>100-2*$BC$7</f>
        <v>90</v>
      </c>
      <c r="CG36" s="233" t="e">
        <f>$P$5*AU36+$Q$5*AV36</f>
        <v>#VALUE!</v>
      </c>
      <c r="CH36" s="233" t="e">
        <f>$Q$5*AU36+$P$5*AV36</f>
        <v>#VALUE!</v>
      </c>
      <c r="CI36" s="117">
        <f>BZ36</f>
        <v>-0.43337841433408852</v>
      </c>
      <c r="CJ36" s="117">
        <f>BZ36-TINV((100-CF36)/100,CA36)*CY36</f>
        <v>-1.2111150920129123</v>
      </c>
      <c r="CK36" s="117">
        <f>BZ36+TINV((100-CF36)/100,CA36)*CY36</f>
        <v>0.34435826334473518</v>
      </c>
      <c r="CL36" s="117">
        <f>(CK36-CJ36)/2</f>
        <v>0.77773667767882371</v>
      </c>
      <c r="CM36" s="118" t="e">
        <f>IF(CO36&lt;$BE$7,IF(MAX(CR36,CU36)=CR36,CT36&amp;" trivial; don't use",CW36&amp;" harmful; don't use"),IF(CU36&lt;$BA$7,CQ36&amp;" beneficial; use","unclear; don't use"))</f>
        <v>#VALUE!</v>
      </c>
      <c r="CN36" s="118" t="e">
        <f>IF(MIN(CO36,CU36)&gt;$BC$7,"unclear",IF(MAX(CO36,CR36,CU36)=CO36,CQ36&amp;" "&amp;CG35,IF(MAX(CO36,CR36,CU36)=CR36,CT36&amp;" trivial",CW36&amp;" "&amp;CH35)))</f>
        <v>#VALUE!</v>
      </c>
      <c r="CO36" s="112" t="e">
        <f>100*IF(CG36&gt;0,IF(BZ36-CG36&gt;0,1-TDIST((BZ36-CG36)/CY36,CA36,1),TDIST((CG36-BZ36)/CY36,CA36,1)),IF(BZ36-CG36&gt;0,TDIST((BZ36-CG36)/CY36,CA36,1),1-TDIST((CG36-BZ36)/CY36,CA36,1)))</f>
        <v>#VALUE!</v>
      </c>
      <c r="CP36" s="113" t="s">
        <v>166</v>
      </c>
      <c r="CQ36" s="100" t="e">
        <f>IF(CO36&lt;$BA$7,$AZ$7,IF(CO36&lt;$BC$7,$BB$7,IF(CO36&lt;$BE$7,$BD$7,IF(CO36&lt;$BG$7,$BF$7,IF(CO36&lt;$BI$7,$BH$7,IF(CO36&lt;$BK$7,$BJ$7,$BL$7))))))</f>
        <v>#VALUE!</v>
      </c>
      <c r="CR36" s="114" t="e">
        <f>100-CO36-CU36</f>
        <v>#VALUE!</v>
      </c>
      <c r="CS36" s="113" t="s">
        <v>166</v>
      </c>
      <c r="CT36" s="100" t="e">
        <f>IF(CR36&lt;$BA$7,$AZ$7,IF(CR36&lt;$BC$7,$BB$7,IF(CR36&lt;$BE$7,$BD$7,IF(CR36&lt;$BG$7,$BF$7,IF(CR36&lt;$BI$7,$BH$7,IF(CR36&lt;$BK$7,$BJ$7,$BL$7))))))</f>
        <v>#VALUE!</v>
      </c>
      <c r="CU36" s="112" t="e">
        <f>100*IF(CH36&gt;0,IF(BZ36-CH36&gt;0,1-TDIST((BZ36-CH36)/CY36,CA36,1),TDIST((CH36-BZ36)/CY36,CA36,1)),IF(BZ36-CH36&gt;0,TDIST((BZ36-CH36)/CY36,CA36,1),1-TDIST((CH36-BZ36)/CY36,CA36,1)))</f>
        <v>#VALUE!</v>
      </c>
      <c r="CV36" s="113" t="s">
        <v>166</v>
      </c>
      <c r="CW36" s="100" t="e">
        <f>IF(CU36&lt;$BA$7,$AZ$7,IF(CU36&lt;$BC$7,$BB$7,IF(CU36&lt;$BE$7,$BD$7,IF(CU36&lt;$BG$7,$BF$7,IF(CU36&lt;$BI$7,$BH$7,IF(CU36&lt;$BK$7,$BJ$7,$BL$7))))))</f>
        <v>#VALUE!</v>
      </c>
      <c r="CX36" s="115" t="e">
        <f>CO36/(100-CO36)/(CU36/(100-CU36))</f>
        <v>#VALUE!</v>
      </c>
      <c r="CY36" s="105">
        <f>(CC36-CB36)/2/TINV(1-CE36/100,CA36)</f>
        <v>0.46240113414974382</v>
      </c>
      <c r="CZ36" s="258" t="str">
        <f t="shared" ref="CZ36" si="27">U36</f>
        <v>MTPf +1SD/-1SD</v>
      </c>
    </row>
    <row r="37" spans="3:104" x14ac:dyDescent="0.3">
      <c r="C37" s="45" t="s">
        <v>252</v>
      </c>
      <c r="D37" s="12"/>
      <c r="E37" s="1"/>
      <c r="F37" s="1"/>
      <c r="G37" s="12"/>
      <c r="H37" s="1"/>
      <c r="I37" s="1"/>
      <c r="J37" s="12"/>
      <c r="K37" s="1"/>
      <c r="L37" s="1"/>
      <c r="M37" s="1"/>
      <c r="N37" s="1"/>
      <c r="O37" s="1"/>
      <c r="T37" s="40"/>
      <c r="V37" s="4"/>
      <c r="W37" s="4"/>
      <c r="X37" s="4"/>
      <c r="Y37" s="4"/>
      <c r="Z37" s="35"/>
      <c r="AA37" s="37"/>
      <c r="AC37" s="4"/>
      <c r="AD37" s="4"/>
      <c r="AE37" s="4"/>
      <c r="AF37" s="4"/>
      <c r="AG37" s="35"/>
      <c r="AH37" s="37"/>
      <c r="AJ37" s="14"/>
      <c r="AK37" s="14"/>
      <c r="AL37" s="14"/>
      <c r="AM37" s="34"/>
      <c r="AN37" s="34"/>
      <c r="AO37" s="34"/>
      <c r="AP37" s="34"/>
      <c r="AQ37" s="42"/>
      <c r="AR37" s="34"/>
      <c r="AS37" s="34"/>
      <c r="AT37" s="34"/>
      <c r="AU37" s="35"/>
      <c r="AV37" s="37"/>
      <c r="AX37" s="163"/>
      <c r="BY37" s="163"/>
    </row>
    <row r="38" spans="3:104" x14ac:dyDescent="0.3">
      <c r="C38" s="177" t="s">
        <v>257</v>
      </c>
      <c r="D38" s="12"/>
      <c r="E38" s="1"/>
      <c r="F38" s="1"/>
      <c r="G38" s="12"/>
      <c r="H38" s="1"/>
      <c r="I38" s="1"/>
      <c r="J38" s="12"/>
      <c r="K38" s="1"/>
      <c r="L38" s="1"/>
      <c r="M38" s="1"/>
      <c r="N38" s="1"/>
      <c r="O38" s="1"/>
      <c r="T38" s="40"/>
      <c r="V38" s="4"/>
      <c r="W38" s="4"/>
      <c r="X38" s="4"/>
      <c r="Y38" s="4"/>
      <c r="Z38" s="35"/>
      <c r="AA38" s="37"/>
      <c r="AC38" s="4"/>
      <c r="AD38" s="4"/>
      <c r="AE38" s="4"/>
      <c r="AF38" s="4"/>
      <c r="AG38" s="35"/>
      <c r="AH38" s="37"/>
      <c r="AJ38" s="14"/>
      <c r="AK38" s="14"/>
      <c r="AL38" s="14"/>
      <c r="AM38" s="34"/>
      <c r="AN38" s="34"/>
      <c r="AO38" s="34"/>
      <c r="AP38" s="34"/>
      <c r="AQ38" s="42"/>
      <c r="AR38" s="34"/>
      <c r="AS38" s="34"/>
      <c r="AT38" s="34"/>
      <c r="AU38" s="35"/>
      <c r="AV38" s="37"/>
      <c r="AX38" s="259"/>
      <c r="BY38" s="259"/>
    </row>
    <row r="39" spans="3:104" x14ac:dyDescent="0.3">
      <c r="AX39" s="163"/>
      <c r="BY39" s="163"/>
    </row>
    <row r="40" spans="3:104" x14ac:dyDescent="0.3">
      <c r="F40" s="13" t="s">
        <v>89</v>
      </c>
      <c r="AX40" s="160"/>
      <c r="BY40" s="160"/>
    </row>
    <row r="41" spans="3:104" x14ac:dyDescent="0.3">
      <c r="F41" s="13" t="s">
        <v>254</v>
      </c>
      <c r="J41" s="21"/>
      <c r="K41" s="1"/>
      <c r="L41" s="1"/>
      <c r="M41" s="1"/>
      <c r="AX41" s="163"/>
      <c r="BY41" s="163"/>
    </row>
    <row r="42" spans="3:104" x14ac:dyDescent="0.3">
      <c r="F42" s="5" t="s">
        <v>122</v>
      </c>
      <c r="J42" s="21"/>
      <c r="K42" s="1"/>
      <c r="L42" s="1"/>
      <c r="M42" s="1"/>
      <c r="AX42" s="259"/>
      <c r="BY42" s="259"/>
    </row>
    <row r="43" spans="3:104" x14ac:dyDescent="0.3">
      <c r="F43" s="13"/>
      <c r="J43" s="21"/>
      <c r="K43" s="27" t="s">
        <v>77</v>
      </c>
      <c r="L43" s="4">
        <f>D11</f>
        <v>8.5650000000000004E-2</v>
      </c>
      <c r="M43" s="5" t="s">
        <v>78</v>
      </c>
      <c r="AX43" s="163"/>
      <c r="BY43" s="163"/>
    </row>
    <row r="44" spans="3:104" x14ac:dyDescent="0.3">
      <c r="K44" s="27" t="s">
        <v>76</v>
      </c>
      <c r="L44" s="4">
        <f>D13</f>
        <v>1.5105</v>
      </c>
      <c r="M44" s="5" t="s">
        <v>79</v>
      </c>
      <c r="AX44" s="160"/>
      <c r="BY44" s="160"/>
    </row>
    <row r="45" spans="3:104" x14ac:dyDescent="0.3">
      <c r="K45" s="26" t="s">
        <v>98</v>
      </c>
      <c r="L45" s="50">
        <f>L28*$N$6/100</f>
        <v>13.767300000000001</v>
      </c>
      <c r="M45" s="5" t="s">
        <v>247</v>
      </c>
      <c r="AX45" s="163"/>
      <c r="BY45" s="163"/>
    </row>
    <row r="46" spans="3:104" x14ac:dyDescent="0.3">
      <c r="I46" s="13"/>
      <c r="J46" s="21"/>
      <c r="K46" s="27" t="s">
        <v>74</v>
      </c>
      <c r="L46" s="4">
        <f>L44*(1/L17)*100/$N$6</f>
        <v>0.12700543642138812</v>
      </c>
      <c r="M46" s="131" t="s">
        <v>242</v>
      </c>
      <c r="AX46" s="259"/>
      <c r="BY46" s="259"/>
    </row>
    <row r="47" spans="3:104" ht="15.65" customHeight="1" x14ac:dyDescent="0.3">
      <c r="I47" s="22"/>
      <c r="K47" s="27" t="s">
        <v>99</v>
      </c>
      <c r="L47" s="4">
        <f>SQRT(L43+L46)</f>
        <v>0.46114578651592181</v>
      </c>
      <c r="M47" s="131" t="s">
        <v>244</v>
      </c>
      <c r="AX47" s="163"/>
      <c r="BY47" s="163"/>
    </row>
    <row r="48" spans="3:104" ht="14.4" customHeight="1" x14ac:dyDescent="0.3">
      <c r="I48" s="22"/>
      <c r="K48" s="26" t="s">
        <v>100</v>
      </c>
      <c r="L48" s="48">
        <f>EXP(L47)</f>
        <v>1.5858900358112999</v>
      </c>
      <c r="M48" s="5" t="s">
        <v>101</v>
      </c>
      <c r="AX48" s="160"/>
      <c r="BY48" s="160"/>
    </row>
    <row r="49" spans="2:18" x14ac:dyDescent="0.3">
      <c r="I49" s="22"/>
      <c r="K49" s="26" t="s">
        <v>63</v>
      </c>
      <c r="L49" s="49">
        <f>100*L48-100</f>
        <v>58.589003581129987</v>
      </c>
      <c r="M49" s="5" t="s">
        <v>240</v>
      </c>
    </row>
    <row r="50" spans="2:18" ht="14.4" customHeight="1" x14ac:dyDescent="0.3"/>
    <row r="51" spans="2:18" x14ac:dyDescent="0.3">
      <c r="B51" s="13" t="s">
        <v>93</v>
      </c>
      <c r="C51" s="3"/>
      <c r="D51" s="4"/>
      <c r="H51" s="4"/>
      <c r="I51" s="4"/>
      <c r="K51" s="3"/>
      <c r="L51" s="3"/>
      <c r="M51" s="4"/>
      <c r="N51" s="4"/>
      <c r="O51" s="4"/>
    </row>
    <row r="52" spans="2:18" x14ac:dyDescent="0.3">
      <c r="B52" s="45" t="s">
        <v>94</v>
      </c>
      <c r="C52" s="3"/>
      <c r="D52" s="4"/>
      <c r="H52" s="4"/>
      <c r="I52" s="4"/>
      <c r="K52" s="3"/>
      <c r="L52" s="3"/>
      <c r="M52" s="7" t="s">
        <v>88</v>
      </c>
      <c r="N52" s="4"/>
      <c r="O52" s="4"/>
      <c r="Q52" s="7" t="s">
        <v>88</v>
      </c>
      <c r="R52" s="4"/>
    </row>
    <row r="53" spans="2:18" x14ac:dyDescent="0.3">
      <c r="B53" s="265" t="s">
        <v>16</v>
      </c>
      <c r="C53" s="265"/>
      <c r="D53" s="265"/>
      <c r="E53" s="265"/>
      <c r="F53" s="265"/>
      <c r="G53" s="265"/>
      <c r="H53" s="265"/>
      <c r="I53" s="265"/>
      <c r="J53" s="265"/>
      <c r="K53" s="265"/>
      <c r="L53" s="5"/>
      <c r="M53" s="8" t="s">
        <v>116</v>
      </c>
      <c r="N53" s="5"/>
      <c r="O53" s="5"/>
      <c r="Q53" s="8" t="s">
        <v>117</v>
      </c>
      <c r="R53" s="5"/>
    </row>
    <row r="54" spans="2:18" ht="30.05" x14ac:dyDescent="0.3">
      <c r="B54" s="21" t="s">
        <v>17</v>
      </c>
      <c r="C54" s="21" t="s">
        <v>1</v>
      </c>
      <c r="D54" s="21" t="s">
        <v>2</v>
      </c>
      <c r="E54" s="21" t="s">
        <v>18</v>
      </c>
      <c r="F54" s="21" t="s">
        <v>19</v>
      </c>
      <c r="G54" s="21" t="s">
        <v>20</v>
      </c>
      <c r="H54" s="21" t="s">
        <v>21</v>
      </c>
      <c r="I54" s="21" t="s">
        <v>22</v>
      </c>
      <c r="J54" s="21" t="s">
        <v>12</v>
      </c>
      <c r="K54" s="21" t="s">
        <v>13</v>
      </c>
      <c r="L54" s="3" t="s">
        <v>2</v>
      </c>
      <c r="M54" s="3" t="s">
        <v>12</v>
      </c>
      <c r="N54" s="3" t="s">
        <v>13</v>
      </c>
      <c r="O54" s="3"/>
      <c r="P54" s="3" t="s">
        <v>2</v>
      </c>
      <c r="Q54" s="3" t="s">
        <v>12</v>
      </c>
      <c r="R54" s="13" t="s">
        <v>13</v>
      </c>
    </row>
    <row r="55" spans="2:18" x14ac:dyDescent="0.3">
      <c r="B55" s="264" t="s">
        <v>7</v>
      </c>
      <c r="C55" s="264" t="s">
        <v>23</v>
      </c>
      <c r="D55" s="140">
        <v>-1.8200000000000001E-2</v>
      </c>
      <c r="E55" s="140">
        <v>0.26479999999999998</v>
      </c>
      <c r="F55" s="140">
        <v>42</v>
      </c>
      <c r="G55" s="140">
        <v>-7.0000000000000007E-2</v>
      </c>
      <c r="H55" s="140">
        <v>0.94550000000000001</v>
      </c>
      <c r="I55" s="140">
        <v>0.1</v>
      </c>
      <c r="J55" s="151">
        <v>-0.46360000000000001</v>
      </c>
      <c r="K55" s="140">
        <v>0.42720000000000002</v>
      </c>
      <c r="L55" s="49">
        <f>100*_xlfn.T.DIST(D55/$D$17,$F55,1)</f>
        <v>47.535400152759635</v>
      </c>
      <c r="M55" s="11">
        <f t="shared" ref="M55:M68" si="28">100*_xlfn.T.DIST(J55/$D$17,$F55,1)</f>
        <v>6.0337568758707052</v>
      </c>
      <c r="N55" s="11">
        <f t="shared" ref="N55:N68" si="29">100*_xlfn.T.DIST(K55/$D$17,$F55,1)</f>
        <v>92.409565254676153</v>
      </c>
      <c r="O55" s="11"/>
      <c r="P55" s="49">
        <f>100*_xlfn.T.DIST(D55/$L$47,$F55,1)</f>
        <v>48.435257241183074</v>
      </c>
      <c r="Q55" s="11">
        <f t="shared" ref="Q55:Q68" si="30">100*_xlfn.T.DIST(J55/$L$47,$F55,1)</f>
        <v>16.024944348849647</v>
      </c>
      <c r="R55" s="11">
        <f t="shared" ref="R55:R68" si="31">100*_xlfn.T.DIST(K55/$L$47,$F55,1)</f>
        <v>82.023140401437914</v>
      </c>
    </row>
    <row r="56" spans="2:18" x14ac:dyDescent="0.3">
      <c r="B56" s="264" t="s">
        <v>7</v>
      </c>
      <c r="C56" s="264" t="s">
        <v>24</v>
      </c>
      <c r="D56" s="140">
        <v>-0.27589999999999998</v>
      </c>
      <c r="E56" s="140">
        <v>0.17749999999999999</v>
      </c>
      <c r="F56" s="140">
        <v>42</v>
      </c>
      <c r="G56" s="140">
        <v>-1.55</v>
      </c>
      <c r="H56" s="140">
        <v>0.12759999999999999</v>
      </c>
      <c r="I56" s="140">
        <v>0.1</v>
      </c>
      <c r="J56" s="151">
        <v>-0.57440000000000002</v>
      </c>
      <c r="K56" s="140">
        <v>2.2630000000000001E-2</v>
      </c>
      <c r="L56" s="49">
        <f t="shared" ref="L56:L68" si="32">100*_xlfn.T.DIST(D56/$D$17,$F56,1)</f>
        <v>17.560485002908155</v>
      </c>
      <c r="M56" s="11">
        <f t="shared" si="28"/>
        <v>2.8164552390890512</v>
      </c>
      <c r="N56" s="11">
        <f t="shared" si="29"/>
        <v>53.06339642808824</v>
      </c>
      <c r="O56" s="11"/>
      <c r="P56" s="49">
        <f t="shared" ref="P56:P68" si="33">100*_xlfn.T.DIST(D56/$L$47,$F56,1)</f>
        <v>27.642892907761151</v>
      </c>
      <c r="Q56" s="11">
        <f t="shared" si="30"/>
        <v>10.990900208498678</v>
      </c>
      <c r="R56" s="11">
        <f t="shared" si="31"/>
        <v>51.945329190334988</v>
      </c>
    </row>
    <row r="57" spans="2:18" x14ac:dyDescent="0.3">
      <c r="B57" s="264" t="s">
        <v>7</v>
      </c>
      <c r="C57" s="264" t="s">
        <v>25</v>
      </c>
      <c r="D57" s="140">
        <v>0.27610000000000001</v>
      </c>
      <c r="E57" s="140">
        <v>0.21360000000000001</v>
      </c>
      <c r="F57" s="140">
        <v>42</v>
      </c>
      <c r="G57" s="140">
        <v>1.29</v>
      </c>
      <c r="H57" s="140">
        <v>0.20319999999999999</v>
      </c>
      <c r="I57" s="140">
        <v>0.1</v>
      </c>
      <c r="J57" s="151">
        <v>-8.3119999999999999E-2</v>
      </c>
      <c r="K57" s="140">
        <v>0.63529999999999998</v>
      </c>
      <c r="L57" s="49">
        <f t="shared" si="32"/>
        <v>82.456786484065915</v>
      </c>
      <c r="M57" s="11">
        <f t="shared" si="28"/>
        <v>38.889705733660449</v>
      </c>
      <c r="N57" s="11">
        <f t="shared" si="29"/>
        <v>98.217521078382305</v>
      </c>
      <c r="O57" s="11"/>
      <c r="P57" s="49">
        <f t="shared" si="33"/>
        <v>72.371436149328289</v>
      </c>
      <c r="Q57" s="11">
        <f t="shared" si="30"/>
        <v>42.891290157599641</v>
      </c>
      <c r="R57" s="11">
        <f t="shared" si="31"/>
        <v>91.219663645790945</v>
      </c>
    </row>
    <row r="58" spans="2:18" x14ac:dyDescent="0.3">
      <c r="B58" s="264" t="s">
        <v>7</v>
      </c>
      <c r="C58" s="264" t="s">
        <v>26</v>
      </c>
      <c r="D58" s="151">
        <v>0.31659999999999999</v>
      </c>
      <c r="E58" s="140">
        <v>0.1537</v>
      </c>
      <c r="F58" s="140">
        <v>42</v>
      </c>
      <c r="G58" s="151">
        <v>2.06</v>
      </c>
      <c r="H58" s="140">
        <v>4.5600000000000002E-2</v>
      </c>
      <c r="I58" s="140">
        <v>0.1</v>
      </c>
      <c r="J58" s="151">
        <v>5.8139999999999997E-2</v>
      </c>
      <c r="K58" s="140">
        <v>0.57499999999999996</v>
      </c>
      <c r="L58" s="49">
        <f t="shared" si="32"/>
        <v>85.724327288481675</v>
      </c>
      <c r="M58" s="11">
        <f t="shared" si="28"/>
        <v>57.825653174501745</v>
      </c>
      <c r="N58" s="11">
        <f t="shared" si="29"/>
        <v>97.195845255061812</v>
      </c>
      <c r="O58" s="11"/>
      <c r="P58" s="49">
        <f t="shared" si="33"/>
        <v>75.193048813586444</v>
      </c>
      <c r="Q58" s="11">
        <f t="shared" si="30"/>
        <v>54.986381123389258</v>
      </c>
      <c r="R58" s="11">
        <f t="shared" si="31"/>
        <v>89.032736280264672</v>
      </c>
    </row>
    <row r="59" spans="2:18" x14ac:dyDescent="0.3">
      <c r="B59" s="264" t="s">
        <v>7</v>
      </c>
      <c r="C59" s="264" t="s">
        <v>27</v>
      </c>
      <c r="D59" s="151">
        <v>-0.27639999999999998</v>
      </c>
      <c r="E59" s="140">
        <v>0.1802</v>
      </c>
      <c r="F59" s="140">
        <v>42</v>
      </c>
      <c r="G59" s="151">
        <v>-1.53</v>
      </c>
      <c r="H59" s="140">
        <v>0.13250000000000001</v>
      </c>
      <c r="I59" s="140">
        <v>0.1</v>
      </c>
      <c r="J59" s="151">
        <v>-0.57950000000000002</v>
      </c>
      <c r="K59" s="151">
        <v>2.664E-2</v>
      </c>
      <c r="L59" s="49">
        <f t="shared" si="32"/>
        <v>17.517327210941975</v>
      </c>
      <c r="M59" s="11">
        <f t="shared" si="28"/>
        <v>2.7133697561726309</v>
      </c>
      <c r="N59" s="11">
        <f t="shared" si="29"/>
        <v>53.604807755640003</v>
      </c>
      <c r="O59" s="11"/>
      <c r="P59" s="49">
        <f t="shared" si="33"/>
        <v>27.60707734681317</v>
      </c>
      <c r="Q59" s="11">
        <f t="shared" si="30"/>
        <v>10.791194149964142</v>
      </c>
      <c r="R59" s="11">
        <f t="shared" si="31"/>
        <v>52.289675568640789</v>
      </c>
    </row>
    <row r="60" spans="2:18" x14ac:dyDescent="0.3">
      <c r="B60" s="264" t="s">
        <v>7</v>
      </c>
      <c r="C60" s="264" t="s">
        <v>28</v>
      </c>
      <c r="D60" s="151">
        <v>0.1124</v>
      </c>
      <c r="E60" s="140">
        <v>0.18440000000000001</v>
      </c>
      <c r="F60" s="140">
        <v>42</v>
      </c>
      <c r="G60" s="151">
        <v>0.61</v>
      </c>
      <c r="H60" s="140">
        <v>0.54549999999999998</v>
      </c>
      <c r="I60" s="140">
        <v>0.1</v>
      </c>
      <c r="J60" s="151">
        <v>-0.19769999999999999</v>
      </c>
      <c r="K60" s="140">
        <v>0.42249999999999999</v>
      </c>
      <c r="L60" s="49">
        <f t="shared" si="32"/>
        <v>64.856537423580818</v>
      </c>
      <c r="M60" s="11">
        <f t="shared" si="28"/>
        <v>25.152165753781912</v>
      </c>
      <c r="N60" s="11">
        <f t="shared" si="29"/>
        <v>92.187269481155283</v>
      </c>
      <c r="O60" s="11"/>
      <c r="P60" s="49">
        <f t="shared" si="33"/>
        <v>59.569083891401561</v>
      </c>
      <c r="Q60" s="11">
        <f t="shared" si="30"/>
        <v>33.516086705639879</v>
      </c>
      <c r="R60" s="11">
        <f t="shared" si="31"/>
        <v>81.760254300909239</v>
      </c>
    </row>
    <row r="61" spans="2:18" x14ac:dyDescent="0.3">
      <c r="B61" s="264" t="s">
        <v>7</v>
      </c>
      <c r="C61" s="264" t="s">
        <v>29</v>
      </c>
      <c r="D61" s="140">
        <v>7.6139999999999999E-2</v>
      </c>
      <c r="E61" s="140">
        <v>0.24879999999999999</v>
      </c>
      <c r="F61" s="140">
        <v>42</v>
      </c>
      <c r="G61" s="140">
        <v>0.31</v>
      </c>
      <c r="H61" s="140">
        <v>0.76100000000000001</v>
      </c>
      <c r="I61" s="140">
        <v>0.1</v>
      </c>
      <c r="J61" s="151">
        <v>-0.34229999999999999</v>
      </c>
      <c r="K61" s="140">
        <v>0.4945</v>
      </c>
      <c r="L61" s="49">
        <f t="shared" si="32"/>
        <v>60.199620318586547</v>
      </c>
      <c r="M61" s="11">
        <f t="shared" si="28"/>
        <v>12.437525207747376</v>
      </c>
      <c r="N61" s="11">
        <f t="shared" si="29"/>
        <v>95.07492201853502</v>
      </c>
      <c r="O61" s="11"/>
      <c r="P61" s="49">
        <f t="shared" si="33"/>
        <v>56.517540898880434</v>
      </c>
      <c r="Q61" s="11">
        <f t="shared" si="30"/>
        <v>23.102403356653177</v>
      </c>
      <c r="R61" s="11">
        <f t="shared" si="31"/>
        <v>85.515232135747098</v>
      </c>
    </row>
    <row r="62" spans="2:18" x14ac:dyDescent="0.3">
      <c r="B62" s="264" t="s">
        <v>7</v>
      </c>
      <c r="C62" s="264" t="s">
        <v>30</v>
      </c>
      <c r="D62" s="151">
        <v>0.29709999999999998</v>
      </c>
      <c r="E62" s="140">
        <v>0.16320000000000001</v>
      </c>
      <c r="F62" s="140">
        <v>42</v>
      </c>
      <c r="G62" s="151">
        <v>1.82</v>
      </c>
      <c r="H62" s="140">
        <v>7.5800000000000006E-2</v>
      </c>
      <c r="I62" s="140">
        <v>0.1</v>
      </c>
      <c r="J62" s="151">
        <v>2.266E-2</v>
      </c>
      <c r="K62" s="140">
        <v>0.5716</v>
      </c>
      <c r="L62" s="49">
        <f t="shared" si="32"/>
        <v>84.208138352999242</v>
      </c>
      <c r="M62" s="11">
        <f t="shared" si="28"/>
        <v>53.067449197088102</v>
      </c>
      <c r="N62" s="11">
        <f t="shared" si="29"/>
        <v>97.125525383886512</v>
      </c>
      <c r="O62" s="11"/>
      <c r="P62" s="49">
        <f t="shared" si="33"/>
        <v>73.854653207479942</v>
      </c>
      <c r="Q62" s="11">
        <f t="shared" si="30"/>
        <v>51.947905939559561</v>
      </c>
      <c r="R62" s="11">
        <f t="shared" si="31"/>
        <v>88.898295310527217</v>
      </c>
    </row>
    <row r="63" spans="2:18" x14ac:dyDescent="0.3">
      <c r="B63" s="264" t="s">
        <v>7</v>
      </c>
      <c r="C63" s="264" t="s">
        <v>31</v>
      </c>
      <c r="D63" s="140">
        <v>-3.0640000000000001E-2</v>
      </c>
      <c r="E63" s="140">
        <v>0.1643</v>
      </c>
      <c r="F63" s="140">
        <v>42</v>
      </c>
      <c r="G63" s="140">
        <v>-0.19</v>
      </c>
      <c r="H63" s="140">
        <v>0.85289999999999999</v>
      </c>
      <c r="I63" s="140">
        <v>0.1</v>
      </c>
      <c r="J63" s="151">
        <v>-0.307</v>
      </c>
      <c r="K63" s="140">
        <v>0.2457</v>
      </c>
      <c r="L63" s="49">
        <f t="shared" si="32"/>
        <v>45.855819162364774</v>
      </c>
      <c r="M63" s="11">
        <f t="shared" si="28"/>
        <v>15.008900535159366</v>
      </c>
      <c r="N63" s="11">
        <f t="shared" si="29"/>
        <v>79.704010520897782</v>
      </c>
      <c r="O63" s="11"/>
      <c r="P63" s="49">
        <f t="shared" si="33"/>
        <v>47.367013126910784</v>
      </c>
      <c r="Q63" s="11">
        <f t="shared" si="30"/>
        <v>25.461085459081044</v>
      </c>
      <c r="R63" s="11">
        <f t="shared" si="31"/>
        <v>70.151113215868747</v>
      </c>
    </row>
    <row r="64" spans="2:18" x14ac:dyDescent="0.3">
      <c r="B64" s="264" t="s">
        <v>7</v>
      </c>
      <c r="C64" s="264" t="s">
        <v>32</v>
      </c>
      <c r="D64" s="140">
        <v>-0.19969999999999999</v>
      </c>
      <c r="E64" s="140">
        <v>0.18229999999999999</v>
      </c>
      <c r="F64" s="140">
        <v>42</v>
      </c>
      <c r="G64" s="140">
        <v>-1.1000000000000001</v>
      </c>
      <c r="H64" s="140">
        <v>0.27960000000000002</v>
      </c>
      <c r="I64" s="140">
        <v>0.1</v>
      </c>
      <c r="J64" s="151">
        <v>-0.50629999999999997</v>
      </c>
      <c r="K64" s="140">
        <v>0.1069</v>
      </c>
      <c r="L64" s="49">
        <f t="shared" si="32"/>
        <v>24.937842766662964</v>
      </c>
      <c r="M64" s="11">
        <f t="shared" si="28"/>
        <v>4.5487472153433375</v>
      </c>
      <c r="N64" s="11">
        <f t="shared" si="29"/>
        <v>64.162851462061937</v>
      </c>
      <c r="O64" s="11"/>
      <c r="P64" s="49">
        <f t="shared" si="33"/>
        <v>33.359652356021769</v>
      </c>
      <c r="Q64" s="11">
        <f t="shared" si="30"/>
        <v>13.924756348389749</v>
      </c>
      <c r="R64" s="11">
        <f t="shared" si="31"/>
        <v>59.109583107652867</v>
      </c>
    </row>
    <row r="65" spans="2:18" x14ac:dyDescent="0.3">
      <c r="B65" s="264" t="s">
        <v>7</v>
      </c>
      <c r="C65" s="264" t="s">
        <v>33</v>
      </c>
      <c r="D65" s="140">
        <v>-0.29399999999999998</v>
      </c>
      <c r="E65" s="140">
        <v>0.21870000000000001</v>
      </c>
      <c r="F65" s="140">
        <v>42</v>
      </c>
      <c r="G65" s="140">
        <v>-1.34</v>
      </c>
      <c r="H65" s="140">
        <v>0.1862</v>
      </c>
      <c r="I65" s="140">
        <v>0.1</v>
      </c>
      <c r="J65" s="151">
        <v>-0.66190000000000004</v>
      </c>
      <c r="K65" s="140">
        <v>7.3959999999999998E-2</v>
      </c>
      <c r="L65" s="49">
        <f t="shared" si="32"/>
        <v>16.042647380352442</v>
      </c>
      <c r="M65" s="11">
        <f t="shared" si="28"/>
        <v>1.4477617894415196</v>
      </c>
      <c r="N65" s="11">
        <f t="shared" si="29"/>
        <v>59.913987234757116</v>
      </c>
      <c r="O65" s="11"/>
      <c r="P65" s="49">
        <f t="shared" si="33"/>
        <v>26.361605363110058</v>
      </c>
      <c r="Q65" s="11">
        <f t="shared" si="30"/>
        <v>7.9298320873702961</v>
      </c>
      <c r="R65" s="11">
        <f t="shared" si="31"/>
        <v>56.332589972176692</v>
      </c>
    </row>
    <row r="66" spans="2:18" x14ac:dyDescent="0.3">
      <c r="B66" s="264" t="s">
        <v>7</v>
      </c>
      <c r="C66" s="264" t="s">
        <v>34</v>
      </c>
      <c r="D66" s="140">
        <v>3.866E-2</v>
      </c>
      <c r="E66" s="140">
        <v>0.2515</v>
      </c>
      <c r="F66" s="140">
        <v>42</v>
      </c>
      <c r="G66" s="140">
        <v>0.15</v>
      </c>
      <c r="H66" s="140">
        <v>0.87849999999999995</v>
      </c>
      <c r="I66" s="140">
        <v>0.1</v>
      </c>
      <c r="J66" s="151">
        <v>-0.38429999999999997</v>
      </c>
      <c r="K66" s="140">
        <v>0.46160000000000001</v>
      </c>
      <c r="L66" s="49">
        <f t="shared" si="32"/>
        <v>55.223143294690921</v>
      </c>
      <c r="M66" s="11">
        <f t="shared" si="28"/>
        <v>9.8134754878115036</v>
      </c>
      <c r="N66" s="11">
        <f t="shared" si="29"/>
        <v>93.888004435749068</v>
      </c>
      <c r="O66" s="11"/>
      <c r="P66" s="49">
        <f t="shared" si="33"/>
        <v>53.320689510551553</v>
      </c>
      <c r="Q66" s="11">
        <f t="shared" si="30"/>
        <v>20.46783204853585</v>
      </c>
      <c r="R66" s="11">
        <f t="shared" si="31"/>
        <v>83.871676409028396</v>
      </c>
    </row>
    <row r="67" spans="2:18" x14ac:dyDescent="0.3">
      <c r="B67" s="264" t="s">
        <v>7</v>
      </c>
      <c r="C67" s="264" t="s">
        <v>35</v>
      </c>
      <c r="D67" s="140">
        <v>0.1993</v>
      </c>
      <c r="E67" s="140">
        <v>0.15390000000000001</v>
      </c>
      <c r="F67" s="140">
        <v>42</v>
      </c>
      <c r="G67" s="140">
        <v>1.29</v>
      </c>
      <c r="H67" s="140">
        <v>0.2026</v>
      </c>
      <c r="I67" s="140">
        <v>0.1</v>
      </c>
      <c r="J67" s="151">
        <v>-5.9659999999999998E-2</v>
      </c>
      <c r="K67" s="140">
        <v>0.4582</v>
      </c>
      <c r="L67" s="49">
        <f t="shared" si="32"/>
        <v>75.01937324059611</v>
      </c>
      <c r="M67" s="11">
        <f t="shared" si="28"/>
        <v>41.972601196030624</v>
      </c>
      <c r="N67" s="11">
        <f t="shared" si="29"/>
        <v>93.753115328979504</v>
      </c>
      <c r="O67" s="11"/>
      <c r="P67" s="49">
        <f t="shared" si="33"/>
        <v>66.609084631673383</v>
      </c>
      <c r="Q67" s="11">
        <f t="shared" si="30"/>
        <v>44.883989258943643</v>
      </c>
      <c r="R67" s="11">
        <f t="shared" si="31"/>
        <v>83.694899465282205</v>
      </c>
    </row>
    <row r="68" spans="2:18" x14ac:dyDescent="0.3">
      <c r="B68" s="264" t="s">
        <v>7</v>
      </c>
      <c r="C68" s="264" t="s">
        <v>36</v>
      </c>
      <c r="D68" s="140">
        <v>-0.2215</v>
      </c>
      <c r="E68" s="140">
        <v>0.1573</v>
      </c>
      <c r="F68" s="140">
        <v>42</v>
      </c>
      <c r="G68" s="140">
        <v>-1.41</v>
      </c>
      <c r="H68" s="140">
        <v>0.1666</v>
      </c>
      <c r="I68" s="140">
        <v>0.1</v>
      </c>
      <c r="J68" s="151">
        <v>-0.48609999999999998</v>
      </c>
      <c r="K68" s="140">
        <v>4.317E-2</v>
      </c>
      <c r="L68" s="49">
        <f t="shared" si="32"/>
        <v>22.66822429518831</v>
      </c>
      <c r="M68" s="11">
        <f t="shared" si="28"/>
        <v>5.2083817744577994</v>
      </c>
      <c r="N68" s="11">
        <f t="shared" si="29"/>
        <v>55.828190936461539</v>
      </c>
      <c r="O68" s="11"/>
      <c r="P68" s="49">
        <f t="shared" si="33"/>
        <v>31.674424311360365</v>
      </c>
      <c r="Q68" s="11">
        <f t="shared" si="30"/>
        <v>14.892874446840388</v>
      </c>
      <c r="R68" s="11">
        <f t="shared" si="31"/>
        <v>53.706978056688385</v>
      </c>
    </row>
  </sheetData>
  <mergeCells count="102">
    <mergeCell ref="BZ34:BZ35"/>
    <mergeCell ref="CA34:CA35"/>
    <mergeCell ref="CB34:CD34"/>
    <mergeCell ref="CE34:CF34"/>
    <mergeCell ref="CX30:CX31"/>
    <mergeCell ref="CG29:CH29"/>
    <mergeCell ref="CI29:CN29"/>
    <mergeCell ref="CO29:CW29"/>
    <mergeCell ref="CM30:CN30"/>
    <mergeCell ref="CO30:CQ31"/>
    <mergeCell ref="CR30:CT31"/>
    <mergeCell ref="CU30:CW31"/>
    <mergeCell ref="CI30:CL30"/>
    <mergeCell ref="CI34:CL34"/>
    <mergeCell ref="CM34:CN34"/>
    <mergeCell ref="CO34:CQ35"/>
    <mergeCell ref="CR34:CT35"/>
    <mergeCell ref="CU34:CW35"/>
    <mergeCell ref="CX34:CX35"/>
    <mergeCell ref="CG33:CH33"/>
    <mergeCell ref="CI33:CN33"/>
    <mergeCell ref="CO33:CW33"/>
    <mergeCell ref="AY34:AY35"/>
    <mergeCell ref="AZ34:AZ35"/>
    <mergeCell ref="BA34:BC34"/>
    <mergeCell ref="BD34:BE34"/>
    <mergeCell ref="BL34:BM34"/>
    <mergeCell ref="BN34:BP35"/>
    <mergeCell ref="BQ34:BS35"/>
    <mergeCell ref="BT34:BV35"/>
    <mergeCell ref="BW34:BW35"/>
    <mergeCell ref="BH34:BK34"/>
    <mergeCell ref="AY33:BE33"/>
    <mergeCell ref="BF33:BG33"/>
    <mergeCell ref="BH33:BM33"/>
    <mergeCell ref="BN33:BV33"/>
    <mergeCell ref="BZ33:CF33"/>
    <mergeCell ref="AY29:BE29"/>
    <mergeCell ref="BF29:BG29"/>
    <mergeCell ref="BH29:BM29"/>
    <mergeCell ref="BN29:BV29"/>
    <mergeCell ref="AY30:AY31"/>
    <mergeCell ref="AZ30:AZ31"/>
    <mergeCell ref="BA30:BC30"/>
    <mergeCell ref="BD30:BE30"/>
    <mergeCell ref="BL30:BM30"/>
    <mergeCell ref="BN30:BP31"/>
    <mergeCell ref="BW30:BW31"/>
    <mergeCell ref="BH30:BK30"/>
    <mergeCell ref="BQ30:BS31"/>
    <mergeCell ref="BT30:BV31"/>
    <mergeCell ref="BZ29:CF29"/>
    <mergeCell ref="CA30:CA31"/>
    <mergeCell ref="CB30:CD30"/>
    <mergeCell ref="CE30:CF30"/>
    <mergeCell ref="BZ30:BZ31"/>
    <mergeCell ref="BN14:BV14"/>
    <mergeCell ref="BZ14:CF14"/>
    <mergeCell ref="CG14:CH14"/>
    <mergeCell ref="BN15:BP16"/>
    <mergeCell ref="BQ15:BS16"/>
    <mergeCell ref="BT15:BV16"/>
    <mergeCell ref="BW15:BW16"/>
    <mergeCell ref="CX15:CX16"/>
    <mergeCell ref="CI14:CN14"/>
    <mergeCell ref="CO14:CW14"/>
    <mergeCell ref="BZ15:BZ16"/>
    <mergeCell ref="CA15:CA16"/>
    <mergeCell ref="CB15:CD15"/>
    <mergeCell ref="CE15:CF15"/>
    <mergeCell ref="CM15:CN15"/>
    <mergeCell ref="CO15:CQ16"/>
    <mergeCell ref="CR15:CT16"/>
    <mergeCell ref="CU15:CW16"/>
    <mergeCell ref="CI15:CL15"/>
    <mergeCell ref="AY14:BE14"/>
    <mergeCell ref="AY15:AY16"/>
    <mergeCell ref="AZ15:AZ16"/>
    <mergeCell ref="BA15:BC15"/>
    <mergeCell ref="BD15:BE15"/>
    <mergeCell ref="BL15:BM15"/>
    <mergeCell ref="BH15:BK15"/>
    <mergeCell ref="P3:Q3"/>
    <mergeCell ref="B8:I8"/>
    <mergeCell ref="B9:B10"/>
    <mergeCell ref="C9:C10"/>
    <mergeCell ref="D9:D10"/>
    <mergeCell ref="F9:F10"/>
    <mergeCell ref="G9:G10"/>
    <mergeCell ref="H9:I10"/>
    <mergeCell ref="BF14:BG14"/>
    <mergeCell ref="BH14:BM14"/>
    <mergeCell ref="B53:K53"/>
    <mergeCell ref="C25:N25"/>
    <mergeCell ref="C26:C27"/>
    <mergeCell ref="D26:D27"/>
    <mergeCell ref="F26:F27"/>
    <mergeCell ref="G26:G27"/>
    <mergeCell ref="H26:H27"/>
    <mergeCell ref="I26:I27"/>
    <mergeCell ref="J26:J27"/>
    <mergeCell ref="K26:K27"/>
  </mergeCells>
  <pageMargins left="0.7" right="0.7" top="0.75" bottom="0.75" header="0.3" footer="0.3"/>
  <pageSetup paperSize="9" orientation="portrait" horizontalDpi="4294967293" r:id="rId1"/>
  <ignoredErrors>
    <ignoredError sqref="AF17:AF18" 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CZ64"/>
  <sheetViews>
    <sheetView zoomScale="90" zoomScaleNormal="90" workbookViewId="0"/>
  </sheetViews>
  <sheetFormatPr defaultRowHeight="15.05" x14ac:dyDescent="0.3"/>
  <cols>
    <col min="1" max="2" width="8.88671875" style="139"/>
    <col min="3" max="3" width="12.21875" style="139" customWidth="1"/>
    <col min="4" max="4" width="12" style="139" customWidth="1"/>
    <col min="5" max="6" width="10.109375" style="139" customWidth="1"/>
    <col min="7" max="8" width="8.88671875" style="139" customWidth="1"/>
    <col min="9" max="11" width="8.88671875" style="139"/>
    <col min="12" max="12" width="13.44140625" style="139" customWidth="1"/>
    <col min="13" max="14" width="13.21875" style="139" customWidth="1"/>
    <col min="15" max="15" width="3.21875" style="139" customWidth="1"/>
    <col min="16" max="16" width="9" style="139" customWidth="1"/>
    <col min="17" max="17" width="7.77734375" style="139" customWidth="1"/>
    <col min="18" max="18" width="8.6640625" style="139" customWidth="1"/>
    <col min="19" max="19" width="2.44140625" style="139" customWidth="1"/>
    <col min="20" max="20" width="7.5546875" style="139" customWidth="1"/>
    <col min="21" max="21" width="3.88671875" style="139" customWidth="1"/>
    <col min="22" max="24" width="8.88671875" style="139"/>
    <col min="25" max="25" width="9.77734375" style="139" customWidth="1"/>
    <col min="26" max="27" width="8.88671875" style="139"/>
    <col min="28" max="28" width="3.44140625" style="139" customWidth="1"/>
    <col min="29" max="34" width="8.88671875" style="139"/>
    <col min="35" max="35" width="3.44140625" style="139" customWidth="1"/>
    <col min="36" max="40" width="8.88671875" style="139"/>
    <col min="41" max="41" width="1.6640625" style="139" customWidth="1"/>
    <col min="42" max="42" width="8.88671875" style="139"/>
    <col min="43" max="43" width="3.6640625" style="139" customWidth="1"/>
    <col min="44" max="48" width="8.88671875" style="139"/>
    <col min="49" max="49" width="8.88671875" style="139" customWidth="1"/>
    <col min="50" max="63" width="8.88671875" style="139"/>
    <col min="64" max="65" width="23.77734375" style="139" customWidth="1"/>
    <col min="66" max="66" width="8.88671875" style="139"/>
    <col min="67" max="67" width="2.33203125" style="139" customWidth="1"/>
    <col min="68" max="69" width="8.88671875" style="139"/>
    <col min="70" max="70" width="2.33203125" style="139" customWidth="1"/>
    <col min="71" max="72" width="8.88671875" style="139"/>
    <col min="73" max="73" width="2.33203125" style="139" customWidth="1"/>
    <col min="74" max="74" width="8.88671875" style="139"/>
    <col min="75" max="75" width="10.44140625" style="139" customWidth="1"/>
    <col min="76" max="76" width="8.88671875" style="139"/>
    <col min="77" max="77" width="18" style="139" customWidth="1"/>
    <col min="78" max="90" width="8.88671875" style="139"/>
    <col min="91" max="92" width="23.77734375" style="139" customWidth="1"/>
    <col min="93" max="93" width="8.88671875" style="139"/>
    <col min="94" max="94" width="2.33203125" style="139" customWidth="1"/>
    <col min="95" max="96" width="8.88671875" style="139"/>
    <col min="97" max="97" width="2.33203125" style="139" customWidth="1"/>
    <col min="98" max="99" width="8.88671875" style="139"/>
    <col min="100" max="100" width="2.33203125" style="139" customWidth="1"/>
    <col min="101" max="101" width="8.88671875" style="139"/>
    <col min="102" max="102" width="10.44140625" style="139" customWidth="1"/>
    <col min="103" max="16384" width="8.88671875" style="139"/>
  </cols>
  <sheetData>
    <row r="1" spans="2:103" ht="14.4" customHeight="1" x14ac:dyDescent="0.3"/>
    <row r="2" spans="2:103" ht="14.4" customHeight="1" x14ac:dyDescent="0.3">
      <c r="B2" s="154" t="s">
        <v>123</v>
      </c>
      <c r="X2" s="146" t="s">
        <v>187</v>
      </c>
      <c r="Y2" s="146"/>
      <c r="AE2" s="146" t="s">
        <v>218</v>
      </c>
      <c r="AF2" s="146"/>
      <c r="AL2" s="146" t="s">
        <v>192</v>
      </c>
      <c r="AT2" s="146" t="s">
        <v>188</v>
      </c>
    </row>
    <row r="3" spans="2:103" ht="14.4" customHeight="1" x14ac:dyDescent="0.3">
      <c r="B3" s="252" t="s">
        <v>234</v>
      </c>
      <c r="P3" s="279" t="s">
        <v>179</v>
      </c>
      <c r="Q3" s="279"/>
      <c r="R3" s="244"/>
      <c r="S3" s="244"/>
      <c r="X3" s="147" t="s">
        <v>135</v>
      </c>
      <c r="Y3" s="147"/>
      <c r="AE3" s="147" t="s">
        <v>239</v>
      </c>
      <c r="AF3" s="146"/>
      <c r="AL3" s="147" t="s">
        <v>217</v>
      </c>
      <c r="AT3" s="147" t="s">
        <v>186</v>
      </c>
      <c r="AY3" s="144" t="s">
        <v>207</v>
      </c>
    </row>
    <row r="4" spans="2:103" ht="14.4" customHeight="1" x14ac:dyDescent="0.3">
      <c r="D4" s="148" t="s">
        <v>176</v>
      </c>
      <c r="E4" s="205" t="s">
        <v>177</v>
      </c>
      <c r="F4" s="205" t="s">
        <v>178</v>
      </c>
      <c r="G4" s="144" t="s">
        <v>235</v>
      </c>
      <c r="J4" s="163"/>
      <c r="K4" s="163"/>
      <c r="P4" s="250" t="s">
        <v>178</v>
      </c>
      <c r="Q4" s="251" t="s">
        <v>177</v>
      </c>
      <c r="R4" s="255"/>
      <c r="S4" s="255"/>
      <c r="X4" s="147" t="s">
        <v>200</v>
      </c>
      <c r="Y4" s="147"/>
      <c r="AE4" s="147" t="s">
        <v>227</v>
      </c>
      <c r="AF4" s="147"/>
      <c r="AL4" s="147" t="s">
        <v>191</v>
      </c>
      <c r="AT4" s="147" t="s">
        <v>216</v>
      </c>
      <c r="AY4" s="144" t="s">
        <v>209</v>
      </c>
    </row>
    <row r="5" spans="2:103" ht="14.4" customHeight="1" x14ac:dyDescent="0.3">
      <c r="B5" s="144" t="s">
        <v>236</v>
      </c>
      <c r="P5" s="190" t="str">
        <f>IF(AND(IFERROR(SEARCH("incr",$E$4&amp;$F$4),0),IFERROR(SEARCH("decr",$E$4&amp;$F$4),0)),"???",IF(IFERROR(SEARCH("incr",$E$4&amp;$F$4),0),0,IF(IFERROR(SEARCH("decr",$E$4&amp;$F$4),0),1,"???")))</f>
        <v>???</v>
      </c>
      <c r="Q5" s="190" t="str">
        <f>IF(AND(IFERROR(SEARCH("incr",$E$4&amp;$F$4),0),IFERROR(SEARCH("decr",$E$4&amp;$F$4),0)),"???",IF(IFERROR(SEARCH("incr",$E$4&amp;$F$4),0),1,IF(IFERROR(SEARCH("decr",$E$4&amp;$F$4),0),0,"???")))</f>
        <v>???</v>
      </c>
      <c r="R5" s="190"/>
      <c r="S5" s="190"/>
      <c r="X5" s="147" t="s">
        <v>226</v>
      </c>
      <c r="Y5" s="147"/>
      <c r="AE5" s="147" t="s">
        <v>228</v>
      </c>
      <c r="AF5" s="147"/>
      <c r="AL5" s="164"/>
      <c r="AT5" s="147" t="s">
        <v>215</v>
      </c>
    </row>
    <row r="6" spans="2:103" ht="14.4" customHeight="1" x14ac:dyDescent="0.3">
      <c r="M6" s="148" t="s">
        <v>253</v>
      </c>
      <c r="N6" s="257">
        <v>100</v>
      </c>
      <c r="Q6" s="190"/>
      <c r="R6" s="190"/>
      <c r="S6" s="190"/>
      <c r="X6" s="147"/>
      <c r="Y6" s="147"/>
      <c r="AE6" s="147"/>
      <c r="AF6" s="147"/>
      <c r="AL6" s="164"/>
      <c r="AO6" s="163"/>
      <c r="AT6" s="147"/>
    </row>
    <row r="7" spans="2:103" ht="22.85" x14ac:dyDescent="0.3">
      <c r="E7" s="162"/>
      <c r="G7" s="144"/>
      <c r="AY7" s="207">
        <v>0</v>
      </c>
      <c r="AZ7" s="208" t="s">
        <v>143</v>
      </c>
      <c r="BA7" s="209">
        <v>0.5</v>
      </c>
      <c r="BB7" s="208" t="s">
        <v>144</v>
      </c>
      <c r="BC7" s="209">
        <v>5</v>
      </c>
      <c r="BD7" s="208" t="s">
        <v>145</v>
      </c>
      <c r="BE7" s="209">
        <v>25</v>
      </c>
      <c r="BF7" s="210" t="s">
        <v>146</v>
      </c>
      <c r="BG7" s="211">
        <f>100-BE7</f>
        <v>75</v>
      </c>
      <c r="BH7" s="208" t="s">
        <v>147</v>
      </c>
      <c r="BI7" s="211">
        <f>100-BC7</f>
        <v>95</v>
      </c>
      <c r="BJ7" s="208" t="s">
        <v>148</v>
      </c>
      <c r="BK7" s="211">
        <f>100-BA7</f>
        <v>99.5</v>
      </c>
      <c r="BL7" s="246" t="s">
        <v>149</v>
      </c>
    </row>
    <row r="8" spans="2:103" ht="14.4" customHeight="1" x14ac:dyDescent="0.3">
      <c r="B8" s="265" t="s">
        <v>59</v>
      </c>
      <c r="C8" s="265"/>
      <c r="D8" s="265"/>
      <c r="E8" s="265"/>
      <c r="F8" s="265"/>
      <c r="G8" s="265"/>
      <c r="H8" s="265"/>
      <c r="I8" s="265"/>
      <c r="J8" s="141"/>
      <c r="U8" s="145" t="s">
        <v>112</v>
      </c>
      <c r="AC8" s="145" t="s">
        <v>118</v>
      </c>
      <c r="AT8" s="146" t="s">
        <v>115</v>
      </c>
    </row>
    <row r="9" spans="2:103" ht="14.4" customHeight="1" x14ac:dyDescent="0.3">
      <c r="B9" s="280" t="s">
        <v>0</v>
      </c>
      <c r="C9" s="265" t="s">
        <v>1</v>
      </c>
      <c r="D9" s="265" t="s">
        <v>2</v>
      </c>
      <c r="E9" s="141" t="s">
        <v>3</v>
      </c>
      <c r="F9" s="265" t="s">
        <v>5</v>
      </c>
      <c r="G9" s="265" t="s">
        <v>37</v>
      </c>
      <c r="H9" s="265" t="s">
        <v>6</v>
      </c>
      <c r="I9" s="265"/>
      <c r="J9" s="141"/>
      <c r="T9" s="179"/>
      <c r="U9" s="179"/>
      <c r="V9" s="185" t="s">
        <v>14</v>
      </c>
      <c r="W9" s="185" t="s">
        <v>62</v>
      </c>
      <c r="X9" s="185" t="s">
        <v>15</v>
      </c>
      <c r="Y9" s="185" t="s">
        <v>110</v>
      </c>
      <c r="Z9" s="185" t="s">
        <v>111</v>
      </c>
      <c r="AC9" s="185" t="s">
        <v>14</v>
      </c>
      <c r="AD9" s="185" t="s">
        <v>62</v>
      </c>
      <c r="AE9" s="185" t="s">
        <v>15</v>
      </c>
      <c r="AF9" s="185" t="s">
        <v>110</v>
      </c>
      <c r="AG9" s="185" t="s">
        <v>111</v>
      </c>
      <c r="AP9" s="179"/>
      <c r="AQ9" s="179"/>
      <c r="AR9" s="185" t="s">
        <v>14</v>
      </c>
      <c r="AS9" s="185" t="s">
        <v>62</v>
      </c>
      <c r="AT9" s="185" t="s">
        <v>15</v>
      </c>
      <c r="AU9" s="185" t="s">
        <v>110</v>
      </c>
      <c r="AV9" s="185" t="s">
        <v>111</v>
      </c>
    </row>
    <row r="10" spans="2:103" x14ac:dyDescent="0.3">
      <c r="B10" s="280"/>
      <c r="C10" s="265"/>
      <c r="D10" s="265"/>
      <c r="E10" s="141" t="s">
        <v>4</v>
      </c>
      <c r="F10" s="265"/>
      <c r="G10" s="265"/>
      <c r="H10" s="265"/>
      <c r="I10" s="265"/>
      <c r="J10" s="141"/>
      <c r="U10" s="160" t="s">
        <v>108</v>
      </c>
      <c r="V10" s="143">
        <f t="shared" ref="V10:Z11" si="0">SQRT(V26)</f>
        <v>0.94868329805051377</v>
      </c>
      <c r="W10" s="143">
        <f t="shared" si="0"/>
        <v>0.83666002653407556</v>
      </c>
      <c r="X10" s="143">
        <f t="shared" si="0"/>
        <v>0.70710678118654757</v>
      </c>
      <c r="Y10" s="143">
        <f t="shared" si="0"/>
        <v>0.54772255750516607</v>
      </c>
      <c r="Z10" s="143">
        <f t="shared" si="0"/>
        <v>0.31622776601683794</v>
      </c>
      <c r="AC10" s="149">
        <f t="shared" ref="AC10:AG11" si="1">100*V10-100</f>
        <v>-5.1316701949486259</v>
      </c>
      <c r="AD10" s="150">
        <f t="shared" si="1"/>
        <v>-16.33399734659244</v>
      </c>
      <c r="AE10" s="150">
        <f t="shared" si="1"/>
        <v>-29.289321881345245</v>
      </c>
      <c r="AF10" s="150">
        <f t="shared" si="1"/>
        <v>-45.227744249483393</v>
      </c>
      <c r="AG10" s="150">
        <f t="shared" si="1"/>
        <v>-68.377223398316204</v>
      </c>
      <c r="AQ10" s="160" t="s">
        <v>108</v>
      </c>
      <c r="AR10" s="143">
        <f t="shared" ref="AR10:AV11" si="2">0.5*AR26</f>
        <v>-0.1</v>
      </c>
      <c r="AS10" s="143">
        <f t="shared" si="2"/>
        <v>-0.3</v>
      </c>
      <c r="AT10" s="143">
        <f t="shared" si="2"/>
        <v>-0.6</v>
      </c>
      <c r="AU10" s="143">
        <f t="shared" si="2"/>
        <v>-1</v>
      </c>
      <c r="AV10" s="143">
        <f t="shared" si="2"/>
        <v>-2</v>
      </c>
    </row>
    <row r="11" spans="2:103" ht="14.4" x14ac:dyDescent="0.3">
      <c r="B11" s="159" t="s">
        <v>7</v>
      </c>
      <c r="C11" s="141" t="s">
        <v>8</v>
      </c>
      <c r="D11" s="140">
        <v>0</v>
      </c>
      <c r="E11" s="140" t="s">
        <v>64</v>
      </c>
      <c r="F11" s="140" t="s">
        <v>64</v>
      </c>
      <c r="G11" s="140" t="s">
        <v>64</v>
      </c>
      <c r="H11" s="151" t="s">
        <v>64</v>
      </c>
      <c r="I11" s="140" t="s">
        <v>64</v>
      </c>
      <c r="J11" s="140"/>
      <c r="L11" s="164"/>
      <c r="M11" s="164"/>
      <c r="U11" s="160" t="s">
        <v>109</v>
      </c>
      <c r="V11" s="143">
        <f t="shared" si="0"/>
        <v>1.0540925533894598</v>
      </c>
      <c r="W11" s="143">
        <f t="shared" si="0"/>
        <v>1.1952286093343936</v>
      </c>
      <c r="X11" s="143">
        <f t="shared" si="0"/>
        <v>1.4142135623730951</v>
      </c>
      <c r="Y11" s="143">
        <f t="shared" si="0"/>
        <v>1.8257418583505538</v>
      </c>
      <c r="Z11" s="149">
        <f t="shared" si="0"/>
        <v>3.1622776601683795</v>
      </c>
      <c r="AC11" s="149">
        <f t="shared" si="1"/>
        <v>5.4092553389459823</v>
      </c>
      <c r="AD11" s="150">
        <f t="shared" si="1"/>
        <v>19.522860933439361</v>
      </c>
      <c r="AE11" s="150">
        <f t="shared" si="1"/>
        <v>41.42135623730951</v>
      </c>
      <c r="AF11" s="150">
        <f t="shared" si="1"/>
        <v>82.574185835055374</v>
      </c>
      <c r="AG11" s="150">
        <f t="shared" si="1"/>
        <v>216.22776601683796</v>
      </c>
      <c r="AQ11" s="160" t="s">
        <v>109</v>
      </c>
      <c r="AR11" s="143">
        <f t="shared" si="2"/>
        <v>0.1</v>
      </c>
      <c r="AS11" s="143">
        <f t="shared" si="2"/>
        <v>0.3</v>
      </c>
      <c r="AT11" s="143">
        <f t="shared" si="2"/>
        <v>0.6</v>
      </c>
      <c r="AU11" s="143">
        <f t="shared" si="2"/>
        <v>1</v>
      </c>
      <c r="AV11" s="143">
        <f t="shared" si="2"/>
        <v>2</v>
      </c>
    </row>
    <row r="12" spans="2:103" ht="14.4" x14ac:dyDescent="0.3">
      <c r="B12" s="155" t="s">
        <v>9</v>
      </c>
      <c r="C12" s="141"/>
      <c r="D12" s="140">
        <v>0</v>
      </c>
      <c r="E12" s="140" t="s">
        <v>64</v>
      </c>
      <c r="F12" s="140" t="s">
        <v>64</v>
      </c>
      <c r="G12" s="140" t="s">
        <v>64</v>
      </c>
      <c r="H12" s="151" t="s">
        <v>64</v>
      </c>
      <c r="I12" s="140" t="s">
        <v>64</v>
      </c>
      <c r="J12" s="253" t="s">
        <v>205</v>
      </c>
      <c r="L12" s="153"/>
      <c r="M12" s="144"/>
    </row>
    <row r="13" spans="2:103" ht="15.65" customHeight="1" x14ac:dyDescent="0.3">
      <c r="B13" s="155" t="s">
        <v>10</v>
      </c>
      <c r="C13" s="141"/>
      <c r="D13" s="140">
        <v>1.9131</v>
      </c>
      <c r="E13" s="140">
        <v>0.49399999999999999</v>
      </c>
      <c r="F13" s="140">
        <v>3.87</v>
      </c>
      <c r="G13" s="140" t="s">
        <v>11</v>
      </c>
      <c r="H13" s="140">
        <v>1.3111999999999999</v>
      </c>
      <c r="I13" s="140">
        <v>3.1036000000000001</v>
      </c>
      <c r="J13" s="253" t="s">
        <v>201</v>
      </c>
      <c r="L13" s="167"/>
    </row>
    <row r="14" spans="2:103" ht="15.65" customHeight="1" x14ac:dyDescent="0.3">
      <c r="V14" s="186"/>
      <c r="W14" s="186"/>
      <c r="X14" s="187" t="s">
        <v>238</v>
      </c>
      <c r="Y14" s="187"/>
      <c r="Z14" s="186"/>
      <c r="AA14" s="186"/>
      <c r="AB14" s="188"/>
      <c r="AC14" s="186"/>
      <c r="AD14" s="186"/>
      <c r="AE14" s="187" t="s">
        <v>237</v>
      </c>
      <c r="AF14" s="187"/>
      <c r="AG14" s="186"/>
      <c r="AH14" s="186"/>
      <c r="AI14" s="188"/>
      <c r="AJ14" s="186"/>
      <c r="AK14" s="186"/>
      <c r="AL14" s="187" t="s">
        <v>212</v>
      </c>
      <c r="AN14" s="186"/>
      <c r="AO14" s="186"/>
      <c r="AP14" s="186"/>
      <c r="AQ14" s="188"/>
      <c r="AR14" s="186"/>
      <c r="AS14" s="186"/>
      <c r="AT14" s="187" t="s">
        <v>213</v>
      </c>
      <c r="AU14" s="186"/>
      <c r="AV14" s="186"/>
      <c r="AY14" s="266" t="s">
        <v>210</v>
      </c>
      <c r="AZ14" s="267"/>
      <c r="BA14" s="267"/>
      <c r="BB14" s="267"/>
      <c r="BC14" s="267"/>
      <c r="BD14" s="267"/>
      <c r="BE14" s="268"/>
      <c r="BF14" s="277" t="s">
        <v>208</v>
      </c>
      <c r="BG14" s="278"/>
      <c r="BH14" s="281" t="s">
        <v>211</v>
      </c>
      <c r="BI14" s="282"/>
      <c r="BJ14" s="282"/>
      <c r="BK14" s="282"/>
      <c r="BL14" s="282"/>
      <c r="BM14" s="283"/>
      <c r="BN14" s="284" t="s">
        <v>150</v>
      </c>
      <c r="BO14" s="285"/>
      <c r="BP14" s="285"/>
      <c r="BQ14" s="285"/>
      <c r="BR14" s="285"/>
      <c r="BS14" s="285"/>
      <c r="BT14" s="285"/>
      <c r="BU14" s="285"/>
      <c r="BV14" s="286"/>
      <c r="BZ14" s="266" t="s">
        <v>169</v>
      </c>
      <c r="CA14" s="267"/>
      <c r="CB14" s="267"/>
      <c r="CC14" s="267"/>
      <c r="CD14" s="267"/>
      <c r="CE14" s="267"/>
      <c r="CF14" s="268"/>
      <c r="CG14" s="277" t="s">
        <v>208</v>
      </c>
      <c r="CH14" s="278"/>
      <c r="CI14" s="281" t="s">
        <v>180</v>
      </c>
      <c r="CJ14" s="282"/>
      <c r="CK14" s="282"/>
      <c r="CL14" s="282"/>
      <c r="CM14" s="282"/>
      <c r="CN14" s="283"/>
      <c r="CO14" s="284" t="s">
        <v>150</v>
      </c>
      <c r="CP14" s="285"/>
      <c r="CQ14" s="285"/>
      <c r="CR14" s="285"/>
      <c r="CS14" s="285"/>
      <c r="CT14" s="285"/>
      <c r="CU14" s="285"/>
      <c r="CV14" s="285"/>
      <c r="CW14" s="286"/>
    </row>
    <row r="15" spans="2:103" ht="14.4" customHeight="1" x14ac:dyDescent="0.3">
      <c r="B15" s="145" t="s">
        <v>107</v>
      </c>
      <c r="L15" s="147" t="s">
        <v>85</v>
      </c>
      <c r="U15" s="171"/>
      <c r="V15" s="189"/>
      <c r="W15" s="186"/>
      <c r="X15" s="190" t="s">
        <v>103</v>
      </c>
      <c r="Y15" s="190"/>
      <c r="Z15" s="186"/>
      <c r="AA15" s="186"/>
      <c r="AB15" s="188"/>
      <c r="AC15" s="189"/>
      <c r="AD15" s="186"/>
      <c r="AE15" s="190" t="s">
        <v>103</v>
      </c>
      <c r="AF15" s="190"/>
      <c r="AG15" s="186"/>
      <c r="AH15" s="186"/>
      <c r="AI15" s="188"/>
      <c r="AJ15" s="186"/>
      <c r="AK15" s="186"/>
      <c r="AL15" s="190" t="s">
        <v>102</v>
      </c>
      <c r="AM15" s="189"/>
      <c r="AN15" s="189"/>
      <c r="AO15" s="189"/>
      <c r="AP15" s="189" t="s">
        <v>75</v>
      </c>
      <c r="AQ15" s="188"/>
      <c r="AR15" s="186"/>
      <c r="AS15" s="186"/>
      <c r="AT15" s="190" t="s">
        <v>193</v>
      </c>
      <c r="AU15" s="186"/>
      <c r="AV15" s="186"/>
      <c r="AY15" s="269" t="s">
        <v>175</v>
      </c>
      <c r="AZ15" s="271" t="s">
        <v>152</v>
      </c>
      <c r="BA15" s="273" t="s">
        <v>153</v>
      </c>
      <c r="BB15" s="274"/>
      <c r="BC15" s="275"/>
      <c r="BD15" s="276" t="s">
        <v>154</v>
      </c>
      <c r="BE15" s="276"/>
      <c r="BF15" s="231" t="s">
        <v>171</v>
      </c>
      <c r="BG15" s="232" t="s">
        <v>172</v>
      </c>
      <c r="BH15" s="273" t="str">
        <f>"Effect &amp; re-estimated "&amp;BE17&amp;"% confidence limits"</f>
        <v>Effect &amp; re-estimated 90% confidence limits</v>
      </c>
      <c r="BI15" s="274"/>
      <c r="BJ15" s="274"/>
      <c r="BK15" s="275"/>
      <c r="BL15" s="277" t="s">
        <v>155</v>
      </c>
      <c r="BM15" s="278"/>
      <c r="BN15" s="287" t="e">
        <f>"...beneficial or
substantially "&amp;BF16</f>
        <v>#VALUE!</v>
      </c>
      <c r="BO15" s="288"/>
      <c r="BP15" s="289"/>
      <c r="BQ15" s="293" t="s">
        <v>156</v>
      </c>
      <c r="BR15" s="293"/>
      <c r="BS15" s="294"/>
      <c r="BT15" s="297" t="e">
        <f>"...harmful or 
substantially "&amp;BG16</f>
        <v>#VALUE!</v>
      </c>
      <c r="BU15" s="298"/>
      <c r="BV15" s="299"/>
      <c r="BW15" s="303"/>
      <c r="BZ15" s="269" t="s">
        <v>151</v>
      </c>
      <c r="CA15" s="271" t="s">
        <v>152</v>
      </c>
      <c r="CB15" s="273" t="s">
        <v>153</v>
      </c>
      <c r="CC15" s="274"/>
      <c r="CD15" s="275"/>
      <c r="CE15" s="276" t="s">
        <v>154</v>
      </c>
      <c r="CF15" s="276"/>
      <c r="CG15" s="231" t="s">
        <v>171</v>
      </c>
      <c r="CH15" s="232" t="s">
        <v>172</v>
      </c>
      <c r="CI15" s="273" t="str">
        <f>"Effect &amp; re-estimated "&amp;CF17&amp;"% confidence limits"</f>
        <v>Effect &amp; re-estimated 90% confidence limits</v>
      </c>
      <c r="CJ15" s="274"/>
      <c r="CK15" s="274"/>
      <c r="CL15" s="275"/>
      <c r="CM15" s="277" t="s">
        <v>155</v>
      </c>
      <c r="CN15" s="278"/>
      <c r="CO15" s="287" t="e">
        <f>"...beneficial or
substantially "&amp;CG16</f>
        <v>#VALUE!</v>
      </c>
      <c r="CP15" s="288"/>
      <c r="CQ15" s="289"/>
      <c r="CR15" s="293" t="s">
        <v>156</v>
      </c>
      <c r="CS15" s="293"/>
      <c r="CT15" s="294"/>
      <c r="CU15" s="297" t="e">
        <f>"...harmful or 
substantially "&amp;CH16</f>
        <v>#VALUE!</v>
      </c>
      <c r="CV15" s="298"/>
      <c r="CW15" s="299"/>
      <c r="CX15" s="303"/>
    </row>
    <row r="16" spans="2:103" ht="14.4" customHeight="1" x14ac:dyDescent="0.3">
      <c r="B16" s="176"/>
      <c r="C16" s="176"/>
      <c r="D16" s="185" t="s">
        <v>2</v>
      </c>
      <c r="E16" s="185" t="s">
        <v>12</v>
      </c>
      <c r="F16" s="185" t="s">
        <v>13</v>
      </c>
      <c r="G16" s="185" t="s">
        <v>137</v>
      </c>
      <c r="H16" s="185" t="s">
        <v>22</v>
      </c>
      <c r="L16" s="185" t="s">
        <v>206</v>
      </c>
      <c r="T16" s="176"/>
      <c r="U16" s="176"/>
      <c r="V16" s="191" t="s">
        <v>2</v>
      </c>
      <c r="W16" s="191" t="s">
        <v>260</v>
      </c>
      <c r="X16" s="191" t="s">
        <v>261</v>
      </c>
      <c r="Y16" s="206" t="s">
        <v>229</v>
      </c>
      <c r="Z16" s="191" t="s">
        <v>61</v>
      </c>
      <c r="AA16" s="191" t="s">
        <v>60</v>
      </c>
      <c r="AB16" s="188"/>
      <c r="AC16" s="191" t="s">
        <v>2</v>
      </c>
      <c r="AD16" s="191" t="s">
        <v>260</v>
      </c>
      <c r="AE16" s="191" t="s">
        <v>261</v>
      </c>
      <c r="AF16" s="191" t="s">
        <v>230</v>
      </c>
      <c r="AG16" s="191" t="s">
        <v>61</v>
      </c>
      <c r="AH16" s="191" t="s">
        <v>60</v>
      </c>
      <c r="AI16" s="188"/>
      <c r="AJ16" s="191" t="s">
        <v>2</v>
      </c>
      <c r="AK16" s="191" t="s">
        <v>260</v>
      </c>
      <c r="AL16" s="191" t="s">
        <v>261</v>
      </c>
      <c r="AM16" s="191" t="s">
        <v>61</v>
      </c>
      <c r="AN16" s="191" t="s">
        <v>60</v>
      </c>
      <c r="AO16" s="191"/>
      <c r="AP16" s="192" t="s">
        <v>83</v>
      </c>
      <c r="AQ16" s="188"/>
      <c r="AR16" s="191" t="s">
        <v>2</v>
      </c>
      <c r="AS16" s="191" t="s">
        <v>260</v>
      </c>
      <c r="AT16" s="191" t="s">
        <v>261</v>
      </c>
      <c r="AU16" s="193" t="s">
        <v>61</v>
      </c>
      <c r="AV16" s="193" t="s">
        <v>60</v>
      </c>
      <c r="AY16" s="270"/>
      <c r="AZ16" s="272"/>
      <c r="BA16" s="213" t="s">
        <v>232</v>
      </c>
      <c r="BB16" s="214" t="s">
        <v>233</v>
      </c>
      <c r="BC16" s="219" t="s">
        <v>225</v>
      </c>
      <c r="BD16" s="215" t="s">
        <v>160</v>
      </c>
      <c r="BE16" s="216" t="s">
        <v>161</v>
      </c>
      <c r="BF16" s="217" t="e">
        <f>IF(BF17&lt;1,"decr.","incr.")</f>
        <v>#VALUE!</v>
      </c>
      <c r="BG16" s="218" t="e">
        <f>IF(BG17&gt;1,"incr.","decr.")</f>
        <v>#VALUE!</v>
      </c>
      <c r="BH16" s="212" t="s">
        <v>17</v>
      </c>
      <c r="BI16" s="262" t="s">
        <v>262</v>
      </c>
      <c r="BJ16" s="263" t="s">
        <v>263</v>
      </c>
      <c r="BK16" s="219" t="s">
        <v>225</v>
      </c>
      <c r="BL16" s="220" t="s">
        <v>164</v>
      </c>
      <c r="BM16" s="221" t="s">
        <v>165</v>
      </c>
      <c r="BN16" s="290"/>
      <c r="BO16" s="291"/>
      <c r="BP16" s="292"/>
      <c r="BQ16" s="295"/>
      <c r="BR16" s="295"/>
      <c r="BS16" s="296"/>
      <c r="BT16" s="300"/>
      <c r="BU16" s="301"/>
      <c r="BV16" s="302"/>
      <c r="BW16" s="304"/>
      <c r="BX16" s="223" t="s">
        <v>167</v>
      </c>
      <c r="BZ16" s="270"/>
      <c r="CA16" s="272"/>
      <c r="CB16" s="216" t="s">
        <v>258</v>
      </c>
      <c r="CC16" s="214" t="s">
        <v>259</v>
      </c>
      <c r="CD16" s="219" t="s">
        <v>222</v>
      </c>
      <c r="CE16" s="215" t="s">
        <v>160</v>
      </c>
      <c r="CF16" s="216" t="s">
        <v>161</v>
      </c>
      <c r="CG16" s="217" t="e">
        <f>IF(CG17&lt;0,"decr.","incr.")</f>
        <v>#VALUE!</v>
      </c>
      <c r="CH16" s="218" t="e">
        <f>IF(CH17&gt;0,"incr.","decr.")</f>
        <v>#VALUE!</v>
      </c>
      <c r="CI16" s="212" t="s">
        <v>17</v>
      </c>
      <c r="CJ16" s="262" t="s">
        <v>262</v>
      </c>
      <c r="CK16" s="263" t="s">
        <v>263</v>
      </c>
      <c r="CL16" s="219" t="s">
        <v>222</v>
      </c>
      <c r="CM16" s="220" t="s">
        <v>164</v>
      </c>
      <c r="CN16" s="221" t="s">
        <v>165</v>
      </c>
      <c r="CO16" s="290"/>
      <c r="CP16" s="291"/>
      <c r="CQ16" s="292"/>
      <c r="CR16" s="295"/>
      <c r="CS16" s="295"/>
      <c r="CT16" s="296"/>
      <c r="CU16" s="300"/>
      <c r="CV16" s="301"/>
      <c r="CW16" s="302"/>
      <c r="CX16" s="304"/>
      <c r="CY16" s="222" t="s">
        <v>167</v>
      </c>
    </row>
    <row r="17" spans="2:104" ht="14.4" x14ac:dyDescent="0.3">
      <c r="B17" s="142" t="str">
        <f>B11</f>
        <v>Intercept</v>
      </c>
      <c r="C17" s="142" t="str">
        <f>C11</f>
        <v>AthleteID</v>
      </c>
      <c r="D17" s="143">
        <f>IFERROR(SQRT(D11),-SQRT(-D11))</f>
        <v>0</v>
      </c>
      <c r="E17" s="143" t="e">
        <f>IFERROR(SQRT(H11),-SQRT(-H11))</f>
        <v>#VALUE!</v>
      </c>
      <c r="F17" s="143" t="e">
        <f>IFERROR(SQRT(I11),-SQRT(-I11))</f>
        <v>#VALUE!</v>
      </c>
      <c r="G17" s="143" t="e">
        <f>D11/E11</f>
        <v>#VALUE!</v>
      </c>
      <c r="H17" s="143">
        <f>(100-MID($H$9,6,2))/100</f>
        <v>0.1</v>
      </c>
      <c r="L17" s="149">
        <f>$L$28/SQRT(V17)</f>
        <v>3.4704000000000002</v>
      </c>
      <c r="U17" s="160" t="str">
        <f>C17</f>
        <v>AthleteID</v>
      </c>
      <c r="V17" s="180">
        <f t="shared" ref="V17:X18" si="3">EXP(D17)</f>
        <v>1</v>
      </c>
      <c r="W17" s="180" t="e">
        <f t="shared" si="3"/>
        <v>#VALUE!</v>
      </c>
      <c r="X17" s="180" t="e">
        <f t="shared" si="3"/>
        <v>#VALUE!</v>
      </c>
      <c r="Y17" s="180" t="e">
        <f>SQRT(X17/W17)</f>
        <v>#VALUE!</v>
      </c>
      <c r="Z17" s="143">
        <f>$V$10</f>
        <v>0.94868329805051377</v>
      </c>
      <c r="AA17" s="143">
        <f>$V$11</f>
        <v>1.0540925533894598</v>
      </c>
      <c r="AC17" s="181">
        <f>100*V17-100</f>
        <v>0</v>
      </c>
      <c r="AD17" s="181" t="e">
        <f t="shared" ref="AD17:AE18" si="4">100*W17-100</f>
        <v>#VALUE!</v>
      </c>
      <c r="AE17" s="181" t="e">
        <f t="shared" si="4"/>
        <v>#VALUE!</v>
      </c>
      <c r="AF17" s="181" t="e">
        <f>(AE17-AD17)/2</f>
        <v>#VALUE!</v>
      </c>
      <c r="AG17" s="149">
        <f>100*Z17-100</f>
        <v>-5.1316701949486259</v>
      </c>
      <c r="AH17" s="149">
        <f>100*AA17-100</f>
        <v>5.4092553389459823</v>
      </c>
      <c r="AJ17" s="143">
        <f t="shared" ref="AJ17:AL18" si="5">D17</f>
        <v>0</v>
      </c>
      <c r="AK17" s="143" t="e">
        <f t="shared" si="5"/>
        <v>#VALUE!</v>
      </c>
      <c r="AL17" s="143" t="e">
        <f t="shared" si="5"/>
        <v>#VALUE!</v>
      </c>
      <c r="AM17" s="143">
        <f>LN(Z17)</f>
        <v>-5.2680257828913182E-2</v>
      </c>
      <c r="AN17" s="143">
        <f>LN(AA17)</f>
        <v>5.268025782891321E-2</v>
      </c>
      <c r="AO17" s="143"/>
      <c r="AP17" s="143">
        <f>SQRT($D$11+$D$13*100/$N$6/L17)</f>
        <v>0.74247027034845903</v>
      </c>
      <c r="AR17" s="143">
        <f>AJ17/AP17</f>
        <v>0</v>
      </c>
      <c r="AS17" s="143" t="e">
        <f>AK17/AP17</f>
        <v>#VALUE!</v>
      </c>
      <c r="AT17" s="143" t="e">
        <f>AL17/AP17</f>
        <v>#VALUE!</v>
      </c>
      <c r="AU17" s="143">
        <f>$AR$10</f>
        <v>-0.1</v>
      </c>
      <c r="AV17" s="143">
        <f>$AR$11</f>
        <v>0.1</v>
      </c>
      <c r="AW17" s="145" t="str">
        <f>U17</f>
        <v>AthleteID</v>
      </c>
      <c r="AY17" s="233">
        <f>V17</f>
        <v>1</v>
      </c>
      <c r="AZ17" s="234">
        <v>999</v>
      </c>
      <c r="BA17" s="233" t="e">
        <f>W17</f>
        <v>#VALUE!</v>
      </c>
      <c r="BB17" s="233" t="e">
        <f>X17</f>
        <v>#VALUE!</v>
      </c>
      <c r="BC17" s="233" t="e">
        <f>SQRT(BB17/BA17)</f>
        <v>#VALUE!</v>
      </c>
      <c r="BD17" s="235">
        <f>100*(1-H17)</f>
        <v>90</v>
      </c>
      <c r="BE17" s="228">
        <f>100-2*$BC$7</f>
        <v>90</v>
      </c>
      <c r="BF17" s="233" t="e">
        <f>$P$5*Z17+$Q$5*AA17</f>
        <v>#VALUE!</v>
      </c>
      <c r="BG17" s="233" t="e">
        <f>$Q$5*Z17+$P$5*AA17</f>
        <v>#VALUE!</v>
      </c>
      <c r="BH17" s="229">
        <f>AY17</f>
        <v>1</v>
      </c>
      <c r="BI17" s="229" t="e">
        <f>EXP(LN(AY17)-TINV((100-BE17)/100,AZ17)*BX17)</f>
        <v>#VALUE!</v>
      </c>
      <c r="BJ17" s="229" t="e">
        <f>EXP(LN(AY17)+TINV((100-BE17)/100,AZ17)*BX17)</f>
        <v>#VALUE!</v>
      </c>
      <c r="BK17" s="229" t="e">
        <f>SQRT(BJ17/BI17)</f>
        <v>#VALUE!</v>
      </c>
      <c r="BL17" s="243" t="s">
        <v>204</v>
      </c>
      <c r="BM17" s="243" t="e">
        <f>IF(MIN(BN17,BT17)&gt;$BC$7,"unclear",IF(MAX(BN17,BQ17,BT17)=BN17,BP17&amp;" "&amp;BF$16,IF(MAX(BN17,BQ17,BT17)=BQ17,BS17&amp;" trivial",BV17&amp;" "&amp;BG$16)))</f>
        <v>#VALUE!</v>
      </c>
      <c r="BN17" s="224" t="e">
        <f>100*IF(LN(BF17)&gt;0,IF(LN(AY17)-LN(BF17)&gt;0,1-TDIST((LN(AY17)-LN(BF17))/BX17,AZ17,1),TDIST((LN(BF17)-LN(AY17))/BX17,AZ17,1)),IF(LN(AY17)-LN(BF17)&gt;0,TDIST((LN(AY17)-LN(BF17))/BX17,AZ17,1),1-TDIST((LN(BF17)-LN(AY17))/BX17,AZ17,1)))</f>
        <v>#VALUE!</v>
      </c>
      <c r="BO17" s="225" t="s">
        <v>166</v>
      </c>
      <c r="BP17" s="226" t="e">
        <f>IF(BN17&lt;$BA$7,$AZ$7,IF(BN17&lt;$BC$7,$BB$7,IF(BN17&lt;$BE$7,$BD$7,IF(BN17&lt;$BG$7,$BF$7,IF(BN17&lt;$BI$7,$BH$7,IF(BN17&lt;$BK$7,$BJ$7,$BL$7))))))</f>
        <v>#VALUE!</v>
      </c>
      <c r="BQ17" s="227" t="e">
        <f>100-BN17-BT17</f>
        <v>#VALUE!</v>
      </c>
      <c r="BR17" s="225" t="s">
        <v>166</v>
      </c>
      <c r="BS17" s="226" t="e">
        <f>IF(BQ17&lt;$BA$7,$AZ$7,IF(BQ17&lt;$BC$7,$BB$7,IF(BQ17&lt;$BE$7,$BD$7,IF(BQ17&lt;$BG$7,$BF$7,IF(BQ17&lt;$BI$7,$BH$7,IF(BQ17&lt;$BK$7,$BJ$7,$BL$7))))))</f>
        <v>#VALUE!</v>
      </c>
      <c r="BT17" s="224" t="e">
        <f>100*IF(LN(BG17)&gt;0,IF(LN(AY17)-LN(BG17)&gt;0,1-TDIST((LN(AY17)-LN(BG17))/BX17,AZ17,1),TDIST((LN(BG17)-LN(AY17))/BX17,AZ17,1)),IF(LN(AY17)-LN(BG17)&gt;0,TDIST((LN(AY17)-LN(BG17))/BX17,AZ17,1),1-TDIST((LN(BG17)-LN(AY17))/BX17,AZ17,1)))</f>
        <v>#VALUE!</v>
      </c>
      <c r="BU17" s="225" t="s">
        <v>166</v>
      </c>
      <c r="BV17" s="226" t="e">
        <f>IF(BT17&lt;$BA$7,$AZ$7,IF(BT17&lt;$BC$7,$BB$7,IF(BT17&lt;$BE$7,$BD$7,IF(BT17&lt;$BG$7,$BF$7,IF(BT17&lt;$BI$7,$BH$7,IF(BT17&lt;$BK$7,$BJ$7,$BL$7))))))</f>
        <v>#VALUE!</v>
      </c>
      <c r="BW17" s="240"/>
      <c r="BX17" s="230" t="e">
        <f>(LN(BB17)-LN(BA17))/2/TINV(1-BD17/100,AZ17)</f>
        <v>#VALUE!</v>
      </c>
      <c r="BY17" s="249" t="str">
        <f>U17</f>
        <v>AthleteID</v>
      </c>
      <c r="BZ17" s="236">
        <f>AR17</f>
        <v>0</v>
      </c>
      <c r="CA17" s="234">
        <v>999</v>
      </c>
      <c r="CB17" s="236" t="e">
        <f>AS17</f>
        <v>#VALUE!</v>
      </c>
      <c r="CC17" s="236" t="e">
        <f>AT17</f>
        <v>#VALUE!</v>
      </c>
      <c r="CD17" s="236" t="e">
        <f>(CC17-CB17)/2</f>
        <v>#VALUE!</v>
      </c>
      <c r="CE17" s="234">
        <f>100*(1-H17)</f>
        <v>90</v>
      </c>
      <c r="CF17" s="228">
        <f>100-2*$BC$7</f>
        <v>90</v>
      </c>
      <c r="CG17" s="233" t="e">
        <f>$P$5*AU17+$Q$5*AV17</f>
        <v>#VALUE!</v>
      </c>
      <c r="CH17" s="233" t="e">
        <f>$Q$5*AU17+$P$5*AV17</f>
        <v>#VALUE!</v>
      </c>
      <c r="CI17" s="242">
        <f>BZ17</f>
        <v>0</v>
      </c>
      <c r="CJ17" s="242" t="e">
        <f>BZ17-TINV((100-CF17)/100,CA17)*CY17</f>
        <v>#VALUE!</v>
      </c>
      <c r="CK17" s="242" t="e">
        <f>BZ17+TINV((100-CF17)/100,CA17)*CY17</f>
        <v>#VALUE!</v>
      </c>
      <c r="CL17" s="242" t="e">
        <f>(CK17-CJ17)/2</f>
        <v>#VALUE!</v>
      </c>
      <c r="CM17" s="243" t="s">
        <v>204</v>
      </c>
      <c r="CN17" s="243" t="e">
        <f>IF(MIN(CO17,CU17)&gt;$BC$7,"unclear",IF(MAX(CO17,CR17,CU17)=CO17,CQ17&amp;" "&amp;CG$16,IF(MAX(CO17,CR17,CU17)=CR17,CT17&amp;" trivial",CW17&amp;" "&amp;CH$16)))</f>
        <v>#VALUE!</v>
      </c>
      <c r="CO17" s="237" t="e">
        <f>100*IF(CG17&gt;0,IF(BZ17-CG17&gt;0,1-TDIST((BZ17-CG17)/CY17,CA17,1),TDIST((CG17-BZ17)/CY17,CA17,1)),IF(BZ17-CG17&gt;0,TDIST((BZ17-CG17)/CY17,CA17,1),1-TDIST((CG17-BZ17)/CY17,CA17,1)))</f>
        <v>#VALUE!</v>
      </c>
      <c r="CP17" s="238" t="s">
        <v>166</v>
      </c>
      <c r="CQ17" s="226" t="e">
        <f>IF(CO17&lt;$BA$7,$AZ$7,IF(CO17&lt;$BC$7,$BB$7,IF(CO17&lt;$BE$7,$BD$7,IF(CO17&lt;$BG$7,$BF$7,IF(CO17&lt;$BI$7,$BH$7,IF(CO17&lt;$BK$7,$BJ$7,$BL$7))))))</f>
        <v>#VALUE!</v>
      </c>
      <c r="CR17" s="239" t="e">
        <f>100-CO17-CU17</f>
        <v>#VALUE!</v>
      </c>
      <c r="CS17" s="238" t="s">
        <v>166</v>
      </c>
      <c r="CT17" s="226" t="e">
        <f>IF(CR17&lt;$BA$7,$AZ$7,IF(CR17&lt;$BC$7,$BB$7,IF(CR17&lt;$BE$7,$BD$7,IF(CR17&lt;$BG$7,$BF$7,IF(CR17&lt;$BI$7,$BH$7,IF(CR17&lt;$BK$7,$BJ$7,$BL$7))))))</f>
        <v>#VALUE!</v>
      </c>
      <c r="CU17" s="237" t="e">
        <f>100*IF(CH17&gt;0,IF(BZ17-CH17&gt;0,1-TDIST((BZ17-CH17)/CY17,CA17,1),TDIST((CH17-BZ17)/CY17,CA17,1)),IF(BZ17-CH17&gt;0,TDIST((BZ17-CH17)/CY17,CA17,1),1-TDIST((CH17-BZ17)/CY17,CA17,1)))</f>
        <v>#VALUE!</v>
      </c>
      <c r="CV17" s="238" t="s">
        <v>166</v>
      </c>
      <c r="CW17" s="226" t="e">
        <f>IF(CU17&lt;$BA$7,$AZ$7,IF(CU17&lt;$BC$7,$BB$7,IF(CU17&lt;$BE$7,$BD$7,IF(CU17&lt;$BG$7,$BF$7,IF(CU17&lt;$BI$7,$BH$7,IF(CU17&lt;$BK$7,$BJ$7,$BL$7))))))</f>
        <v>#VALUE!</v>
      </c>
      <c r="CX17" s="240"/>
      <c r="CY17" s="230" t="e">
        <f>(CC17-CB17)/2/TINV(1-CE17/100,CA17)</f>
        <v>#VALUE!</v>
      </c>
      <c r="CZ17" s="258" t="str">
        <f>U17</f>
        <v>AthleteID</v>
      </c>
    </row>
    <row r="18" spans="2:104" ht="14.4" x14ac:dyDescent="0.3">
      <c r="B18" s="142" t="str">
        <f>B12</f>
        <v>GameID</v>
      </c>
      <c r="C18" s="142"/>
      <c r="D18" s="143">
        <f>IFERROR(SQRT(D12),-SQRT(-D12))</f>
        <v>0</v>
      </c>
      <c r="E18" s="143" t="e">
        <f>IFERROR(SQRT(H12),-SQRT(-H12))</f>
        <v>#VALUE!</v>
      </c>
      <c r="F18" s="143" t="e">
        <f>IFERROR(SQRT(I12),-SQRT(-I12))</f>
        <v>#VALUE!</v>
      </c>
      <c r="G18" s="143" t="e">
        <f>D12/E12</f>
        <v>#VALUE!</v>
      </c>
      <c r="H18" s="143">
        <f>(100-MID($H$9,6,2))/100</f>
        <v>0.1</v>
      </c>
      <c r="L18" s="149">
        <f>$L$28/SQRT(V18)</f>
        <v>3.4704000000000002</v>
      </c>
      <c r="U18" s="160" t="str">
        <f>B18</f>
        <v>GameID</v>
      </c>
      <c r="V18" s="180">
        <f t="shared" si="3"/>
        <v>1</v>
      </c>
      <c r="W18" s="180" t="e">
        <f t="shared" si="3"/>
        <v>#VALUE!</v>
      </c>
      <c r="X18" s="180" t="e">
        <f t="shared" si="3"/>
        <v>#VALUE!</v>
      </c>
      <c r="Y18" s="180" t="e">
        <f>SQRT(X18/W18)</f>
        <v>#VALUE!</v>
      </c>
      <c r="Z18" s="143">
        <f>$V$10</f>
        <v>0.94868329805051377</v>
      </c>
      <c r="AA18" s="143">
        <f>$V$11</f>
        <v>1.0540925533894598</v>
      </c>
      <c r="AC18" s="181">
        <f>100*V18-100</f>
        <v>0</v>
      </c>
      <c r="AD18" s="181" t="e">
        <f t="shared" si="4"/>
        <v>#VALUE!</v>
      </c>
      <c r="AE18" s="181" t="e">
        <f t="shared" si="4"/>
        <v>#VALUE!</v>
      </c>
      <c r="AF18" s="181" t="e">
        <f>(AE18-AD18)/2</f>
        <v>#VALUE!</v>
      </c>
      <c r="AG18" s="149">
        <f>100*Z18-100</f>
        <v>-5.1316701949486259</v>
      </c>
      <c r="AH18" s="149">
        <f>100*AA18-100</f>
        <v>5.4092553389459823</v>
      </c>
      <c r="AJ18" s="143">
        <f t="shared" si="5"/>
        <v>0</v>
      </c>
      <c r="AK18" s="143" t="e">
        <f t="shared" si="5"/>
        <v>#VALUE!</v>
      </c>
      <c r="AL18" s="143" t="e">
        <f t="shared" si="5"/>
        <v>#VALUE!</v>
      </c>
      <c r="AM18" s="143">
        <f>LN(Z18)</f>
        <v>-5.2680257828913182E-2</v>
      </c>
      <c r="AN18" s="143">
        <f>LN(AA18)</f>
        <v>5.268025782891321E-2</v>
      </c>
      <c r="AO18" s="143"/>
      <c r="AP18" s="143">
        <f>SQRT($D$11+$D$13*100/$N$6/L18)</f>
        <v>0.74247027034845903</v>
      </c>
      <c r="AR18" s="143">
        <f>AJ18/AP18</f>
        <v>0</v>
      </c>
      <c r="AS18" s="143" t="e">
        <f>AK18/AP18</f>
        <v>#VALUE!</v>
      </c>
      <c r="AT18" s="143" t="e">
        <f>AL18/AP18</f>
        <v>#VALUE!</v>
      </c>
      <c r="AU18" s="143">
        <f>$AR$10</f>
        <v>-0.1</v>
      </c>
      <c r="AV18" s="143">
        <f>$AR$11</f>
        <v>0.1</v>
      </c>
      <c r="AW18" s="145" t="str">
        <f>U18</f>
        <v>GameID</v>
      </c>
      <c r="AY18" s="233">
        <f>V18</f>
        <v>1</v>
      </c>
      <c r="AZ18" s="234">
        <v>999</v>
      </c>
      <c r="BA18" s="233" t="e">
        <f>W18</f>
        <v>#VALUE!</v>
      </c>
      <c r="BB18" s="233" t="e">
        <f>X18</f>
        <v>#VALUE!</v>
      </c>
      <c r="BC18" s="233" t="e">
        <f>SQRT(BB18/BA18)</f>
        <v>#VALUE!</v>
      </c>
      <c r="BD18" s="235">
        <f>100*(1-H18)</f>
        <v>90</v>
      </c>
      <c r="BE18" s="228">
        <f>100-2*$BC$7</f>
        <v>90</v>
      </c>
      <c r="BF18" s="233" t="e">
        <f>$P$5*Z18+$Q$5*AA18</f>
        <v>#VALUE!</v>
      </c>
      <c r="BG18" s="233" t="e">
        <f>$Q$5*Z18+$P$5*AA18</f>
        <v>#VALUE!</v>
      </c>
      <c r="BH18" s="229">
        <f>AY18</f>
        <v>1</v>
      </c>
      <c r="BI18" s="229" t="e">
        <f>EXP(LN(AY18)-TINV((100-BE18)/100,AZ18)*BX18)</f>
        <v>#VALUE!</v>
      </c>
      <c r="BJ18" s="229" t="e">
        <f>EXP(LN(AY18)+TINV((100-BE18)/100,AZ18)*BX18)</f>
        <v>#VALUE!</v>
      </c>
      <c r="BK18" s="229" t="e">
        <f>SQRT(BJ18/BI18)</f>
        <v>#VALUE!</v>
      </c>
      <c r="BL18" s="243" t="s">
        <v>204</v>
      </c>
      <c r="BM18" s="243" t="e">
        <f>IF(MIN(BN18,BT18)&gt;$BC$7,"unclear",IF(MAX(BN18,BQ18,BT18)=BN18,BP18&amp;" "&amp;BF$16,IF(MAX(BN18,BQ18,BT18)=BQ18,BS18&amp;" trivial",BV18&amp;" "&amp;BG$16)))</f>
        <v>#VALUE!</v>
      </c>
      <c r="BN18" s="224" t="e">
        <f>100*IF(LN(BF18)&gt;0,IF(LN(AY18)-LN(BF18)&gt;0,1-TDIST((LN(AY18)-LN(BF18))/BX18,AZ18,1),TDIST((LN(BF18)-LN(AY18))/BX18,AZ18,1)),IF(LN(AY18)-LN(BF18)&gt;0,TDIST((LN(AY18)-LN(BF18))/BX18,AZ18,1),1-TDIST((LN(BF18)-LN(AY18))/BX18,AZ18,1)))</f>
        <v>#VALUE!</v>
      </c>
      <c r="BO18" s="225" t="s">
        <v>166</v>
      </c>
      <c r="BP18" s="226" t="e">
        <f>IF(BN18&lt;$BA$7,$AZ$7,IF(BN18&lt;$BC$7,$BB$7,IF(BN18&lt;$BE$7,$BD$7,IF(BN18&lt;$BG$7,$BF$7,IF(BN18&lt;$BI$7,$BH$7,IF(BN18&lt;$BK$7,$BJ$7,$BL$7))))))</f>
        <v>#VALUE!</v>
      </c>
      <c r="BQ18" s="227" t="e">
        <f>100-BN18-BT18</f>
        <v>#VALUE!</v>
      </c>
      <c r="BR18" s="225" t="s">
        <v>166</v>
      </c>
      <c r="BS18" s="226" t="e">
        <f>IF(BQ18&lt;$BA$7,$AZ$7,IF(BQ18&lt;$BC$7,$BB$7,IF(BQ18&lt;$BE$7,$BD$7,IF(BQ18&lt;$BG$7,$BF$7,IF(BQ18&lt;$BI$7,$BH$7,IF(BQ18&lt;$BK$7,$BJ$7,$BL$7))))))</f>
        <v>#VALUE!</v>
      </c>
      <c r="BT18" s="224" t="e">
        <f>100*IF(LN(BG18)&gt;0,IF(LN(AY18)-LN(BG18)&gt;0,1-TDIST((LN(AY18)-LN(BG18))/BX18,AZ18,1),TDIST((LN(BG18)-LN(AY18))/BX18,AZ18,1)),IF(LN(AY18)-LN(BG18)&gt;0,TDIST((LN(AY18)-LN(BG18))/BX18,AZ18,1),1-TDIST((LN(BG18)-LN(AY18))/BX18,AZ18,1)))</f>
        <v>#VALUE!</v>
      </c>
      <c r="BU18" s="225" t="s">
        <v>166</v>
      </c>
      <c r="BV18" s="226" t="e">
        <f>IF(BT18&lt;$BA$7,$AZ$7,IF(BT18&lt;$BC$7,$BB$7,IF(BT18&lt;$BE$7,$BD$7,IF(BT18&lt;$BG$7,$BF$7,IF(BT18&lt;$BI$7,$BH$7,IF(BT18&lt;$BK$7,$BJ$7,$BL$7))))))</f>
        <v>#VALUE!</v>
      </c>
      <c r="BW18" s="240"/>
      <c r="BX18" s="230" t="e">
        <f>(LN(BB18)-LN(BA18))/2/TINV(1-BD18/100,AZ18)</f>
        <v>#VALUE!</v>
      </c>
      <c r="BY18" s="249" t="str">
        <f>U18</f>
        <v>GameID</v>
      </c>
      <c r="BZ18" s="236">
        <f>AR18</f>
        <v>0</v>
      </c>
      <c r="CA18" s="234">
        <v>999</v>
      </c>
      <c r="CB18" s="236" t="e">
        <f>AS18</f>
        <v>#VALUE!</v>
      </c>
      <c r="CC18" s="236" t="e">
        <f>AT18</f>
        <v>#VALUE!</v>
      </c>
      <c r="CD18" s="236" t="e">
        <f>(CC18-CB18)/2</f>
        <v>#VALUE!</v>
      </c>
      <c r="CE18" s="234">
        <f>100*(1-H18)</f>
        <v>90</v>
      </c>
      <c r="CF18" s="228">
        <f>100-2*$BC$7</f>
        <v>90</v>
      </c>
      <c r="CG18" s="233" t="e">
        <f>$P$5*AU18+$Q$5*AV18</f>
        <v>#VALUE!</v>
      </c>
      <c r="CH18" s="233" t="e">
        <f>$Q$5*AU18+$P$5*AV18</f>
        <v>#VALUE!</v>
      </c>
      <c r="CI18" s="242">
        <f>BZ18</f>
        <v>0</v>
      </c>
      <c r="CJ18" s="242" t="e">
        <f>BZ18-TINV((100-CF18)/100,CA18)*CY18</f>
        <v>#VALUE!</v>
      </c>
      <c r="CK18" s="242" t="e">
        <f>BZ18+TINV((100-CF18)/100,CA18)*CY18</f>
        <v>#VALUE!</v>
      </c>
      <c r="CL18" s="242" t="e">
        <f>(CK18-CJ18)/2</f>
        <v>#VALUE!</v>
      </c>
      <c r="CM18" s="243" t="s">
        <v>204</v>
      </c>
      <c r="CN18" s="243" t="e">
        <f>IF(MIN(CO18,CU18)&gt;$BC$7,"unclear",IF(MAX(CO18,CR18,CU18)=CO18,CQ18&amp;" "&amp;CG$16,IF(MAX(CO18,CR18,CU18)=CR18,CT18&amp;" trivial",CW18&amp;" "&amp;CH$16)))</f>
        <v>#VALUE!</v>
      </c>
      <c r="CO18" s="237" t="e">
        <f>100*IF(CG18&gt;0,IF(BZ18-CG18&gt;0,1-TDIST((BZ18-CG18)/CY18,CA18,1),TDIST((CG18-BZ18)/CY18,CA18,1)),IF(BZ18-CG18&gt;0,TDIST((BZ18-CG18)/CY18,CA18,1),1-TDIST((CG18-BZ18)/CY18,CA18,1)))</f>
        <v>#VALUE!</v>
      </c>
      <c r="CP18" s="238" t="s">
        <v>166</v>
      </c>
      <c r="CQ18" s="226" t="e">
        <f>IF(CO18&lt;$BA$7,$AZ$7,IF(CO18&lt;$BC$7,$BB$7,IF(CO18&lt;$BE$7,$BD$7,IF(CO18&lt;$BG$7,$BF$7,IF(CO18&lt;$BI$7,$BH$7,IF(CO18&lt;$BK$7,$BJ$7,$BL$7))))))</f>
        <v>#VALUE!</v>
      </c>
      <c r="CR18" s="239" t="e">
        <f>100-CO18-CU18</f>
        <v>#VALUE!</v>
      </c>
      <c r="CS18" s="238" t="s">
        <v>166</v>
      </c>
      <c r="CT18" s="226" t="e">
        <f>IF(CR18&lt;$BA$7,$AZ$7,IF(CR18&lt;$BC$7,$BB$7,IF(CR18&lt;$BE$7,$BD$7,IF(CR18&lt;$BG$7,$BF$7,IF(CR18&lt;$BI$7,$BH$7,IF(CR18&lt;$BK$7,$BJ$7,$BL$7))))))</f>
        <v>#VALUE!</v>
      </c>
      <c r="CU18" s="237" t="e">
        <f>100*IF(CH18&gt;0,IF(BZ18-CH18&gt;0,1-TDIST((BZ18-CH18)/CY18,CA18,1),TDIST((CH18-BZ18)/CY18,CA18,1)),IF(BZ18-CH18&gt;0,TDIST((BZ18-CH18)/CY18,CA18,1),1-TDIST((CH18-BZ18)/CY18,CA18,1)))</f>
        <v>#VALUE!</v>
      </c>
      <c r="CV18" s="238" t="s">
        <v>166</v>
      </c>
      <c r="CW18" s="226" t="e">
        <f>IF(CU18&lt;$BA$7,$AZ$7,IF(CU18&lt;$BC$7,$BB$7,IF(CU18&lt;$BE$7,$BD$7,IF(CU18&lt;$BG$7,$BF$7,IF(CU18&lt;$BI$7,$BH$7,IF(CU18&lt;$BK$7,$BJ$7,$BL$7))))))</f>
        <v>#VALUE!</v>
      </c>
      <c r="CX18" s="240"/>
      <c r="CY18" s="230" t="e">
        <f>(CC18-CB18)/2/TINV(1-CE18/100,CA18)</f>
        <v>#VALUE!</v>
      </c>
      <c r="CZ18" s="258" t="str">
        <f>U18</f>
        <v>GameID</v>
      </c>
    </row>
    <row r="19" spans="2:104" ht="14.4" x14ac:dyDescent="0.3">
      <c r="B19" s="245" t="s">
        <v>250</v>
      </c>
      <c r="T19" s="157"/>
      <c r="AJ19" s="144"/>
      <c r="AK19" s="144"/>
      <c r="AL19" s="144"/>
      <c r="AM19" s="144"/>
      <c r="AN19" s="144"/>
      <c r="AO19" s="144"/>
      <c r="AP19" s="144"/>
      <c r="AR19" s="144"/>
      <c r="AS19" s="144"/>
      <c r="AT19" s="144"/>
      <c r="BH19" s="144" t="s">
        <v>221</v>
      </c>
      <c r="CI19" s="144" t="s">
        <v>219</v>
      </c>
    </row>
    <row r="20" spans="2:104" ht="14.4" x14ac:dyDescent="0.3">
      <c r="T20" s="157"/>
      <c r="AJ20" s="144"/>
      <c r="AK20" s="144"/>
      <c r="AL20" s="144"/>
      <c r="AM20" s="144"/>
      <c r="AN20" s="144"/>
      <c r="AO20" s="144"/>
      <c r="AP20" s="144"/>
      <c r="AR20" s="144"/>
      <c r="AS20" s="144"/>
      <c r="AT20" s="144"/>
      <c r="BH20" s="144" t="s">
        <v>220</v>
      </c>
      <c r="CI20" s="144" t="s">
        <v>220</v>
      </c>
    </row>
    <row r="21" spans="2:104" ht="14.4" x14ac:dyDescent="0.3">
      <c r="T21" s="157"/>
      <c r="AJ21" s="144"/>
      <c r="AK21" s="144"/>
      <c r="AL21" s="144"/>
      <c r="AM21" s="144"/>
      <c r="AN21" s="144"/>
      <c r="AO21" s="144"/>
      <c r="AP21" s="144"/>
      <c r="AR21" s="144"/>
      <c r="AS21" s="144"/>
      <c r="AT21" s="144"/>
    </row>
    <row r="22" spans="2:104" ht="14.4" x14ac:dyDescent="0.3">
      <c r="T22" s="157"/>
      <c r="AJ22" s="144"/>
      <c r="AK22" s="144"/>
      <c r="AL22" s="144"/>
      <c r="AM22" s="144"/>
      <c r="AN22" s="144"/>
      <c r="AO22" s="144"/>
      <c r="AP22" s="144"/>
      <c r="AR22" s="144"/>
      <c r="AS22" s="144"/>
      <c r="AT22" s="144"/>
    </row>
    <row r="23" spans="2:104" ht="14.4" x14ac:dyDescent="0.3">
      <c r="T23" s="157"/>
      <c r="AJ23" s="144"/>
      <c r="AK23" s="144"/>
      <c r="AL23" s="144"/>
      <c r="AM23" s="144"/>
      <c r="AN23" s="144"/>
      <c r="AO23" s="144"/>
      <c r="AP23" s="144"/>
      <c r="AR23" s="144"/>
      <c r="AS23" s="144"/>
      <c r="AT23" s="144"/>
    </row>
    <row r="24" spans="2:104" ht="14.4" customHeight="1" x14ac:dyDescent="0.3">
      <c r="L24" s="144" t="s">
        <v>248</v>
      </c>
      <c r="U24" s="145" t="s">
        <v>113</v>
      </c>
      <c r="AC24" s="145" t="s">
        <v>120</v>
      </c>
      <c r="AJ24" s="144"/>
      <c r="AK24" s="144"/>
      <c r="AL24" s="144"/>
      <c r="AM24" s="144"/>
      <c r="AN24" s="144"/>
      <c r="AO24" s="144"/>
      <c r="AQ24" s="145" t="s">
        <v>114</v>
      </c>
    </row>
    <row r="25" spans="2:104" ht="14.4" customHeight="1" x14ac:dyDescent="0.3">
      <c r="C25" s="265" t="s">
        <v>38</v>
      </c>
      <c r="D25" s="265"/>
      <c r="E25" s="265"/>
      <c r="F25" s="265"/>
      <c r="G25" s="265"/>
      <c r="H25" s="265"/>
      <c r="I25" s="265"/>
      <c r="J25" s="265"/>
      <c r="K25" s="265"/>
      <c r="L25" s="265"/>
      <c r="M25" s="265"/>
      <c r="N25" s="265"/>
      <c r="O25" s="141"/>
      <c r="T25" s="179"/>
      <c r="U25" s="179"/>
      <c r="V25" s="185" t="s">
        <v>14</v>
      </c>
      <c r="W25" s="185" t="s">
        <v>62</v>
      </c>
      <c r="X25" s="185" t="s">
        <v>15</v>
      </c>
      <c r="Y25" s="185" t="s">
        <v>110</v>
      </c>
      <c r="Z25" s="185" t="s">
        <v>111</v>
      </c>
      <c r="AC25" s="185" t="s">
        <v>14</v>
      </c>
      <c r="AD25" s="185" t="s">
        <v>62</v>
      </c>
      <c r="AE25" s="185" t="s">
        <v>15</v>
      </c>
      <c r="AF25" s="185" t="s">
        <v>110</v>
      </c>
      <c r="AG25" s="185" t="s">
        <v>111</v>
      </c>
      <c r="AJ25" s="144"/>
      <c r="AK25" s="144"/>
      <c r="AL25" s="144"/>
      <c r="AM25" s="144"/>
      <c r="AN25" s="144"/>
      <c r="AO25" s="144"/>
      <c r="AP25" s="179"/>
      <c r="AQ25" s="179"/>
      <c r="AR25" s="185" t="s">
        <v>14</v>
      </c>
      <c r="AS25" s="185" t="s">
        <v>62</v>
      </c>
      <c r="AT25" s="185" t="s">
        <v>15</v>
      </c>
      <c r="AU25" s="185" t="s">
        <v>110</v>
      </c>
      <c r="AV25" s="185" t="s">
        <v>111</v>
      </c>
    </row>
    <row r="26" spans="2:104" ht="14.4" customHeight="1" x14ac:dyDescent="0.3">
      <c r="C26" s="265" t="s">
        <v>39</v>
      </c>
      <c r="D26" s="265" t="s">
        <v>2</v>
      </c>
      <c r="E26" s="141" t="s">
        <v>3</v>
      </c>
      <c r="F26" s="265" t="s">
        <v>19</v>
      </c>
      <c r="G26" s="265" t="s">
        <v>20</v>
      </c>
      <c r="H26" s="265" t="s">
        <v>21</v>
      </c>
      <c r="I26" s="265" t="s">
        <v>22</v>
      </c>
      <c r="J26" s="265" t="s">
        <v>12</v>
      </c>
      <c r="K26" s="265" t="s">
        <v>13</v>
      </c>
      <c r="L26" s="141" t="s">
        <v>40</v>
      </c>
      <c r="M26" s="141" t="s">
        <v>40</v>
      </c>
      <c r="N26" s="141" t="s">
        <v>40</v>
      </c>
      <c r="O26" s="141"/>
      <c r="Q26" s="156" t="s">
        <v>249</v>
      </c>
      <c r="U26" s="160" t="s">
        <v>108</v>
      </c>
      <c r="V26" s="147">
        <v>0.9</v>
      </c>
      <c r="W26" s="147">
        <v>0.7</v>
      </c>
      <c r="X26" s="147">
        <v>0.5</v>
      </c>
      <c r="Y26" s="147">
        <v>0.3</v>
      </c>
      <c r="Z26" s="147">
        <v>0.1</v>
      </c>
      <c r="AC26" s="150">
        <f>100*V26-100</f>
        <v>-10</v>
      </c>
      <c r="AD26" s="150">
        <f t="shared" ref="AD26:AE27" si="6">100*W26-100</f>
        <v>-30</v>
      </c>
      <c r="AE26" s="150">
        <f t="shared" si="6"/>
        <v>-50</v>
      </c>
      <c r="AF26" s="150">
        <f>100*Y26-100</f>
        <v>-70</v>
      </c>
      <c r="AG26" s="150">
        <f>100*Z26-100</f>
        <v>-90</v>
      </c>
      <c r="AJ26" s="144"/>
      <c r="AK26" s="144"/>
      <c r="AL26" s="144"/>
      <c r="AM26" s="144"/>
      <c r="AN26" s="144"/>
      <c r="AO26" s="144"/>
      <c r="AQ26" s="160" t="s">
        <v>108</v>
      </c>
      <c r="AR26" s="143">
        <f>-AR27</f>
        <v>-0.2</v>
      </c>
      <c r="AS26" s="143">
        <f t="shared" ref="AS26:AV26" si="7">-AS27</f>
        <v>-0.6</v>
      </c>
      <c r="AT26" s="149">
        <f t="shared" si="7"/>
        <v>-1.2</v>
      </c>
      <c r="AU26" s="149">
        <f t="shared" si="7"/>
        <v>-2</v>
      </c>
      <c r="AV26" s="149">
        <f t="shared" si="7"/>
        <v>-4</v>
      </c>
    </row>
    <row r="27" spans="2:104" ht="14.4" customHeight="1" x14ac:dyDescent="0.3">
      <c r="C27" s="265"/>
      <c r="D27" s="265"/>
      <c r="E27" s="141" t="s">
        <v>4</v>
      </c>
      <c r="F27" s="265"/>
      <c r="G27" s="265"/>
      <c r="H27" s="265"/>
      <c r="I27" s="265"/>
      <c r="J27" s="265"/>
      <c r="K27" s="265"/>
      <c r="L27" s="141" t="s">
        <v>2</v>
      </c>
      <c r="M27" s="141" t="s">
        <v>12</v>
      </c>
      <c r="N27" s="141" t="s">
        <v>13</v>
      </c>
      <c r="O27" s="141"/>
      <c r="P27" s="179"/>
      <c r="Q27" s="247"/>
      <c r="R27" s="248" t="s">
        <v>2</v>
      </c>
      <c r="U27" s="160" t="s">
        <v>109</v>
      </c>
      <c r="V27" s="143">
        <f>1/V26</f>
        <v>1.1111111111111112</v>
      </c>
      <c r="W27" s="143">
        <f t="shared" ref="W27:X27" si="8">1/W26</f>
        <v>1.4285714285714286</v>
      </c>
      <c r="X27" s="149">
        <f t="shared" si="8"/>
        <v>2</v>
      </c>
      <c r="Y27" s="149">
        <f>1/Y26</f>
        <v>3.3333333333333335</v>
      </c>
      <c r="Z27" s="150">
        <f>1/Z26</f>
        <v>10</v>
      </c>
      <c r="AC27" s="150">
        <f>100*V27-100</f>
        <v>11.111111111111114</v>
      </c>
      <c r="AD27" s="150">
        <f t="shared" si="6"/>
        <v>42.857142857142861</v>
      </c>
      <c r="AE27" s="150">
        <f t="shared" si="6"/>
        <v>100</v>
      </c>
      <c r="AF27" s="150">
        <f>100*Y27-100</f>
        <v>233.33333333333337</v>
      </c>
      <c r="AG27" s="150">
        <f>100*Z27-100</f>
        <v>900</v>
      </c>
      <c r="AJ27" s="144"/>
      <c r="AK27" s="144"/>
      <c r="AL27" s="144"/>
      <c r="AM27" s="144"/>
      <c r="AN27" s="144"/>
      <c r="AO27" s="144"/>
      <c r="AQ27" s="160" t="s">
        <v>109</v>
      </c>
      <c r="AR27" s="143">
        <v>0.2</v>
      </c>
      <c r="AS27" s="143">
        <v>0.6</v>
      </c>
      <c r="AT27" s="149">
        <v>1.2</v>
      </c>
      <c r="AU27" s="149">
        <v>2</v>
      </c>
      <c r="AV27" s="149">
        <v>4</v>
      </c>
    </row>
    <row r="28" spans="2:104" x14ac:dyDescent="0.3">
      <c r="C28" s="155" t="s">
        <v>58</v>
      </c>
      <c r="D28" s="140">
        <v>1.2443</v>
      </c>
      <c r="E28" s="140">
        <v>0.15379999999999999</v>
      </c>
      <c r="F28" s="140">
        <v>4</v>
      </c>
      <c r="G28" s="140">
        <v>8.09</v>
      </c>
      <c r="H28" s="140">
        <v>1.2999999999999999E-3</v>
      </c>
      <c r="I28" s="140">
        <v>0.1</v>
      </c>
      <c r="J28" s="140">
        <v>0.9163</v>
      </c>
      <c r="K28" s="140">
        <v>1.5722</v>
      </c>
      <c r="L28" s="174">
        <v>3.4704000000000002</v>
      </c>
      <c r="M28" s="140">
        <v>2.5001000000000002</v>
      </c>
      <c r="N28" s="140">
        <v>4.8174000000000001</v>
      </c>
      <c r="O28" s="140"/>
      <c r="P28" s="144"/>
      <c r="Q28" s="161" t="str">
        <f>C28</f>
        <v>Mean</v>
      </c>
      <c r="R28" s="256">
        <f>L28</f>
        <v>3.4704000000000002</v>
      </c>
      <c r="T28" s="157"/>
      <c r="AJ28" s="144"/>
      <c r="AK28" s="144"/>
      <c r="AL28" s="144"/>
      <c r="AM28" s="143"/>
      <c r="AN28" s="144"/>
      <c r="AO28" s="144"/>
      <c r="AP28" s="144"/>
      <c r="AR28" s="144"/>
      <c r="AS28" s="144"/>
      <c r="AT28" s="144"/>
    </row>
    <row r="29" spans="2:104" ht="15.65" customHeight="1" x14ac:dyDescent="0.3">
      <c r="C29" s="155"/>
      <c r="D29" s="140">
        <v>0</v>
      </c>
      <c r="E29" s="165" t="s">
        <v>64</v>
      </c>
      <c r="F29" s="165" t="s">
        <v>64</v>
      </c>
      <c r="G29" s="165" t="s">
        <v>64</v>
      </c>
      <c r="H29" s="165" t="s">
        <v>64</v>
      </c>
      <c r="I29" s="165" t="s">
        <v>64</v>
      </c>
      <c r="J29" s="165" t="s">
        <v>64</v>
      </c>
      <c r="K29" s="166" t="s">
        <v>64</v>
      </c>
      <c r="L29" s="165" t="s">
        <v>64</v>
      </c>
      <c r="M29" s="165" t="s">
        <v>64</v>
      </c>
      <c r="N29" s="165" t="s">
        <v>64</v>
      </c>
      <c r="O29" s="165"/>
      <c r="P29" s="161"/>
      <c r="Q29" s="178"/>
      <c r="R29" s="183"/>
      <c r="T29" s="157"/>
      <c r="V29" s="186"/>
      <c r="W29" s="186"/>
      <c r="X29" s="187" t="s">
        <v>96</v>
      </c>
      <c r="Y29" s="187"/>
      <c r="Z29" s="186"/>
      <c r="AA29" s="186"/>
      <c r="AB29" s="188"/>
      <c r="AC29" s="186"/>
      <c r="AD29" s="186"/>
      <c r="AE29" s="187" t="s">
        <v>119</v>
      </c>
      <c r="AF29" s="187"/>
      <c r="AG29" s="186"/>
      <c r="AH29" s="186"/>
      <c r="AI29" s="188"/>
      <c r="AJ29" s="186"/>
      <c r="AK29" s="186"/>
      <c r="AL29" s="186"/>
      <c r="AM29" s="187" t="s">
        <v>97</v>
      </c>
      <c r="AN29" s="186"/>
      <c r="AO29" s="186"/>
      <c r="AP29" s="186"/>
      <c r="AQ29" s="188"/>
      <c r="AR29" s="186"/>
      <c r="AS29" s="186"/>
      <c r="AT29" s="187" t="s">
        <v>194</v>
      </c>
      <c r="AU29" s="194"/>
      <c r="AV29" s="188"/>
      <c r="AW29" s="260"/>
      <c r="AY29" s="266" t="s">
        <v>210</v>
      </c>
      <c r="AZ29" s="267"/>
      <c r="BA29" s="267"/>
      <c r="BB29" s="267"/>
      <c r="BC29" s="267"/>
      <c r="BD29" s="267"/>
      <c r="BE29" s="268"/>
      <c r="BF29" s="277" t="s">
        <v>208</v>
      </c>
      <c r="BG29" s="278"/>
      <c r="BH29" s="281" t="s">
        <v>211</v>
      </c>
      <c r="BI29" s="282"/>
      <c r="BJ29" s="282"/>
      <c r="BK29" s="282"/>
      <c r="BL29" s="282"/>
      <c r="BM29" s="283"/>
      <c r="BN29" s="284" t="s">
        <v>150</v>
      </c>
      <c r="BO29" s="285"/>
      <c r="BP29" s="285"/>
      <c r="BQ29" s="285"/>
      <c r="BR29" s="285"/>
      <c r="BS29" s="285"/>
      <c r="BT29" s="285"/>
      <c r="BU29" s="285"/>
      <c r="BV29" s="286"/>
      <c r="BY29" s="163"/>
      <c r="BZ29" s="266" t="s">
        <v>169</v>
      </c>
      <c r="CA29" s="267"/>
      <c r="CB29" s="267"/>
      <c r="CC29" s="267"/>
      <c r="CD29" s="267"/>
      <c r="CE29" s="267"/>
      <c r="CF29" s="268"/>
      <c r="CG29" s="277" t="s">
        <v>208</v>
      </c>
      <c r="CH29" s="278"/>
      <c r="CI29" s="281" t="s">
        <v>180</v>
      </c>
      <c r="CJ29" s="282"/>
      <c r="CK29" s="282"/>
      <c r="CL29" s="282"/>
      <c r="CM29" s="282"/>
      <c r="CN29" s="283"/>
      <c r="CO29" s="284" t="s">
        <v>150</v>
      </c>
      <c r="CP29" s="285"/>
      <c r="CQ29" s="285"/>
      <c r="CR29" s="285"/>
      <c r="CS29" s="285"/>
      <c r="CT29" s="285"/>
      <c r="CU29" s="285"/>
      <c r="CV29" s="285"/>
      <c r="CW29" s="286"/>
    </row>
    <row r="30" spans="2:104" ht="14.4" customHeight="1" x14ac:dyDescent="0.3">
      <c r="C30" s="155" t="s">
        <v>41</v>
      </c>
      <c r="D30" s="140">
        <v>1.3856999999999999</v>
      </c>
      <c r="E30" s="140">
        <v>0.26619999999999999</v>
      </c>
      <c r="F30" s="140">
        <v>18</v>
      </c>
      <c r="G30" s="140">
        <v>5.2</v>
      </c>
      <c r="H30" s="140" t="s">
        <v>11</v>
      </c>
      <c r="I30" s="140">
        <v>0.1</v>
      </c>
      <c r="J30" s="140">
        <v>0.92400000000000004</v>
      </c>
      <c r="K30" s="140">
        <v>1.8473999999999999</v>
      </c>
      <c r="L30" s="140">
        <v>3.9975999999999998</v>
      </c>
      <c r="M30" s="140">
        <v>2.5194000000000001</v>
      </c>
      <c r="N30" s="140">
        <v>6.3430999999999997</v>
      </c>
      <c r="O30" s="140"/>
      <c r="P30" s="144"/>
      <c r="Q30" s="162" t="str">
        <f>C30</f>
        <v>Mean @ Week 1</v>
      </c>
      <c r="R30" s="149">
        <f>L30</f>
        <v>3.9975999999999998</v>
      </c>
      <c r="T30" s="157"/>
      <c r="U30" s="161" t="str">
        <f>IF(ISBLANK(C29),"",C29)</f>
        <v/>
      </c>
      <c r="V30" s="189"/>
      <c r="W30" s="186"/>
      <c r="X30" s="190" t="s">
        <v>103</v>
      </c>
      <c r="Y30" s="190"/>
      <c r="Z30" s="186"/>
      <c r="AA30" s="186"/>
      <c r="AB30" s="188"/>
      <c r="AC30" s="189"/>
      <c r="AD30" s="186"/>
      <c r="AE30" s="190" t="s">
        <v>121</v>
      </c>
      <c r="AF30" s="190"/>
      <c r="AG30" s="186"/>
      <c r="AH30" s="186"/>
      <c r="AI30" s="188"/>
      <c r="AJ30" s="186"/>
      <c r="AK30" s="186"/>
      <c r="AL30" s="190" t="s">
        <v>102</v>
      </c>
      <c r="AM30" s="189"/>
      <c r="AN30" s="189"/>
      <c r="AO30" s="189"/>
      <c r="AP30" s="189" t="s">
        <v>75</v>
      </c>
      <c r="AQ30" s="188"/>
      <c r="AR30" s="186"/>
      <c r="AS30" s="186"/>
      <c r="AT30" s="190" t="s">
        <v>193</v>
      </c>
      <c r="AU30" s="188"/>
      <c r="AV30" s="188"/>
      <c r="AW30" s="258" t="str">
        <f>IF(ISBLANK(U30),"",U30)</f>
        <v/>
      </c>
      <c r="AY30" s="269" t="s">
        <v>175</v>
      </c>
      <c r="AZ30" s="271" t="s">
        <v>152</v>
      </c>
      <c r="BA30" s="273" t="s">
        <v>153</v>
      </c>
      <c r="BB30" s="274"/>
      <c r="BC30" s="275"/>
      <c r="BD30" s="276" t="s">
        <v>154</v>
      </c>
      <c r="BE30" s="276"/>
      <c r="BF30" s="231" t="s">
        <v>171</v>
      </c>
      <c r="BG30" s="232" t="s">
        <v>172</v>
      </c>
      <c r="BH30" s="273" t="str">
        <f>"Effect &amp; re-estimated "&amp;BE32&amp;"% confidence limits"</f>
        <v>Effect &amp; re-estimated 90% confidence limits</v>
      </c>
      <c r="BI30" s="274"/>
      <c r="BJ30" s="274"/>
      <c r="BK30" s="275"/>
      <c r="BL30" s="277" t="s">
        <v>155</v>
      </c>
      <c r="BM30" s="278"/>
      <c r="BN30" s="287" t="e">
        <f>"...beneficial or
substantially "&amp;BF31</f>
        <v>#VALUE!</v>
      </c>
      <c r="BO30" s="288"/>
      <c r="BP30" s="289"/>
      <c r="BQ30" s="293" t="s">
        <v>156</v>
      </c>
      <c r="BR30" s="293"/>
      <c r="BS30" s="294"/>
      <c r="BT30" s="297" t="e">
        <f>"...harmful or 
substantially "&amp;BG31</f>
        <v>#VALUE!</v>
      </c>
      <c r="BU30" s="298"/>
      <c r="BV30" s="299"/>
      <c r="BW30" s="303" t="s">
        <v>157</v>
      </c>
      <c r="BY30" s="259" t="str">
        <f t="shared" ref="BY30" si="9">IF(ISBLANK(U30),"",U30)</f>
        <v/>
      </c>
      <c r="BZ30" s="269" t="s">
        <v>151</v>
      </c>
      <c r="CA30" s="271" t="s">
        <v>152</v>
      </c>
      <c r="CB30" s="273" t="s">
        <v>153</v>
      </c>
      <c r="CC30" s="274"/>
      <c r="CD30" s="275"/>
      <c r="CE30" s="276" t="s">
        <v>154</v>
      </c>
      <c r="CF30" s="276"/>
      <c r="CG30" s="231" t="s">
        <v>171</v>
      </c>
      <c r="CH30" s="232" t="s">
        <v>172</v>
      </c>
      <c r="CI30" s="273" t="str">
        <f>"Effect &amp; re-estimated "&amp;CF32&amp;"% confidence limits"</f>
        <v>Effect &amp; re-estimated 90% confidence limits</v>
      </c>
      <c r="CJ30" s="274"/>
      <c r="CK30" s="274"/>
      <c r="CL30" s="275"/>
      <c r="CM30" s="277" t="s">
        <v>155</v>
      </c>
      <c r="CN30" s="278"/>
      <c r="CO30" s="287" t="e">
        <f>"...beneficial or
substantially "&amp;CG31</f>
        <v>#VALUE!</v>
      </c>
      <c r="CP30" s="288"/>
      <c r="CQ30" s="289"/>
      <c r="CR30" s="293" t="s">
        <v>156</v>
      </c>
      <c r="CS30" s="293"/>
      <c r="CT30" s="294"/>
      <c r="CU30" s="297" t="e">
        <f>"...harmful or 
substantially "&amp;CH31</f>
        <v>#VALUE!</v>
      </c>
      <c r="CV30" s="298"/>
      <c r="CW30" s="299"/>
      <c r="CX30" s="303" t="s">
        <v>157</v>
      </c>
      <c r="CZ30" s="154" t="str">
        <f>IF(ISBLANK(U30),"",U30)</f>
        <v/>
      </c>
    </row>
    <row r="31" spans="2:104" x14ac:dyDescent="0.3">
      <c r="C31" s="155" t="s">
        <v>42</v>
      </c>
      <c r="D31" s="140">
        <v>1.1029</v>
      </c>
      <c r="E31" s="140">
        <v>0.29249999999999998</v>
      </c>
      <c r="F31" s="140">
        <v>18</v>
      </c>
      <c r="G31" s="140">
        <v>3.77</v>
      </c>
      <c r="H31" s="140">
        <v>1.4E-3</v>
      </c>
      <c r="I31" s="140">
        <v>0.1</v>
      </c>
      <c r="J31" s="140">
        <v>0.59570000000000001</v>
      </c>
      <c r="K31" s="140">
        <v>1.61</v>
      </c>
      <c r="L31" s="140">
        <v>3.0127999999999999</v>
      </c>
      <c r="M31" s="140">
        <v>1.8143</v>
      </c>
      <c r="N31" s="140">
        <v>5.0030000000000001</v>
      </c>
      <c r="O31" s="140"/>
      <c r="P31" s="144"/>
      <c r="Q31" s="162" t="str">
        <f>C31</f>
        <v>Mean @ Week 6</v>
      </c>
      <c r="R31" s="149">
        <f>L31</f>
        <v>3.0127999999999999</v>
      </c>
      <c r="T31" s="195"/>
      <c r="U31" s="176"/>
      <c r="V31" s="191" t="s">
        <v>2</v>
      </c>
      <c r="W31" s="191" t="s">
        <v>12</v>
      </c>
      <c r="X31" s="191" t="s">
        <v>13</v>
      </c>
      <c r="Y31" s="206" t="s">
        <v>141</v>
      </c>
      <c r="Z31" s="191" t="s">
        <v>61</v>
      </c>
      <c r="AA31" s="191" t="s">
        <v>60</v>
      </c>
      <c r="AC31" s="191" t="s">
        <v>2</v>
      </c>
      <c r="AD31" s="191" t="s">
        <v>12</v>
      </c>
      <c r="AE31" s="191" t="s">
        <v>13</v>
      </c>
      <c r="AF31" s="191" t="s">
        <v>230</v>
      </c>
      <c r="AG31" s="191" t="s">
        <v>61</v>
      </c>
      <c r="AH31" s="191" t="s">
        <v>60</v>
      </c>
      <c r="AJ31" s="191" t="s">
        <v>2</v>
      </c>
      <c r="AK31" s="191" t="s">
        <v>12</v>
      </c>
      <c r="AL31" s="191" t="s">
        <v>13</v>
      </c>
      <c r="AM31" s="191" t="s">
        <v>61</v>
      </c>
      <c r="AN31" s="191" t="s">
        <v>60</v>
      </c>
      <c r="AO31" s="191"/>
      <c r="AP31" s="192" t="s">
        <v>83</v>
      </c>
      <c r="AR31" s="191" t="s">
        <v>2</v>
      </c>
      <c r="AS31" s="191" t="s">
        <v>12</v>
      </c>
      <c r="AT31" s="191" t="s">
        <v>13</v>
      </c>
      <c r="AU31" s="193" t="s">
        <v>61</v>
      </c>
      <c r="AV31" s="193" t="s">
        <v>60</v>
      </c>
      <c r="AW31" s="260"/>
      <c r="AY31" s="270"/>
      <c r="AZ31" s="272"/>
      <c r="BA31" s="213" t="s">
        <v>158</v>
      </c>
      <c r="BB31" s="214" t="s">
        <v>159</v>
      </c>
      <c r="BC31" s="219" t="s">
        <v>168</v>
      </c>
      <c r="BD31" s="215" t="s">
        <v>160</v>
      </c>
      <c r="BE31" s="216" t="s">
        <v>161</v>
      </c>
      <c r="BF31" s="217" t="e">
        <f>IF(BF32&lt;1,"decr.","incr.")</f>
        <v>#VALUE!</v>
      </c>
      <c r="BG31" s="218" t="e">
        <f>IF(BG32&gt;1,"incr.","decr.")</f>
        <v>#VALUE!</v>
      </c>
      <c r="BH31" s="212" t="s">
        <v>17</v>
      </c>
      <c r="BI31" s="216" t="s">
        <v>162</v>
      </c>
      <c r="BJ31" s="216" t="s">
        <v>163</v>
      </c>
      <c r="BK31" s="219" t="s">
        <v>168</v>
      </c>
      <c r="BL31" s="220" t="s">
        <v>164</v>
      </c>
      <c r="BM31" s="221" t="s">
        <v>165</v>
      </c>
      <c r="BN31" s="290"/>
      <c r="BO31" s="291"/>
      <c r="BP31" s="292"/>
      <c r="BQ31" s="295"/>
      <c r="BR31" s="295"/>
      <c r="BS31" s="296"/>
      <c r="BT31" s="300"/>
      <c r="BU31" s="301"/>
      <c r="BV31" s="302"/>
      <c r="BW31" s="304"/>
      <c r="BX31" s="223" t="s">
        <v>167</v>
      </c>
      <c r="BY31" s="163"/>
      <c r="BZ31" s="270"/>
      <c r="CA31" s="272"/>
      <c r="CB31" s="213" t="s">
        <v>158</v>
      </c>
      <c r="CC31" s="214" t="s">
        <v>159</v>
      </c>
      <c r="CD31" s="219" t="s">
        <v>138</v>
      </c>
      <c r="CE31" s="215" t="s">
        <v>160</v>
      </c>
      <c r="CF31" s="216" t="s">
        <v>161</v>
      </c>
      <c r="CG31" s="217" t="e">
        <f>IF(CG32&lt;0,"decr.","incr.")</f>
        <v>#VALUE!</v>
      </c>
      <c r="CH31" s="218" t="e">
        <f>IF(CH32&gt;0,"incr.","decr.")</f>
        <v>#VALUE!</v>
      </c>
      <c r="CI31" s="212" t="s">
        <v>17</v>
      </c>
      <c r="CJ31" s="216" t="s">
        <v>162</v>
      </c>
      <c r="CK31" s="216" t="s">
        <v>163</v>
      </c>
      <c r="CL31" s="219" t="s">
        <v>138</v>
      </c>
      <c r="CM31" s="220" t="s">
        <v>164</v>
      </c>
      <c r="CN31" s="221" t="s">
        <v>165</v>
      </c>
      <c r="CO31" s="290"/>
      <c r="CP31" s="291"/>
      <c r="CQ31" s="292"/>
      <c r="CR31" s="295"/>
      <c r="CS31" s="295"/>
      <c r="CT31" s="296"/>
      <c r="CU31" s="300"/>
      <c r="CV31" s="301"/>
      <c r="CW31" s="302"/>
      <c r="CX31" s="304"/>
      <c r="CY31" s="222" t="s">
        <v>167</v>
      </c>
    </row>
    <row r="32" spans="2:104" x14ac:dyDescent="0.3">
      <c r="C32" s="155" t="s">
        <v>80</v>
      </c>
      <c r="D32" s="140">
        <v>-0.2828</v>
      </c>
      <c r="E32" s="140">
        <v>0.46710000000000002</v>
      </c>
      <c r="F32" s="140">
        <v>18</v>
      </c>
      <c r="G32" s="140">
        <v>-0.61</v>
      </c>
      <c r="H32" s="140">
        <v>0.5524</v>
      </c>
      <c r="I32" s="140">
        <v>0.1</v>
      </c>
      <c r="J32" s="151">
        <v>-1.0928</v>
      </c>
      <c r="K32" s="140">
        <v>0.5272</v>
      </c>
      <c r="L32" s="140">
        <v>0.75360000000000005</v>
      </c>
      <c r="M32" s="140">
        <v>0.33529999999999999</v>
      </c>
      <c r="N32" s="140">
        <v>1.6940999999999999</v>
      </c>
      <c r="O32" s="140"/>
      <c r="P32" s="144"/>
      <c r="R32" s="144"/>
      <c r="U32" s="161" t="str">
        <f>C32</f>
        <v>Week 6/Week 1</v>
      </c>
      <c r="V32" s="180">
        <f>L32</f>
        <v>0.75360000000000005</v>
      </c>
      <c r="W32" s="180">
        <f>M32</f>
        <v>0.33529999999999999</v>
      </c>
      <c r="X32" s="180">
        <f>N32</f>
        <v>1.6940999999999999</v>
      </c>
      <c r="Y32" s="180">
        <f>SQRT(X32/W32)</f>
        <v>2.2477745232090323</v>
      </c>
      <c r="Z32" s="143">
        <f>$V$26</f>
        <v>0.9</v>
      </c>
      <c r="AA32" s="143">
        <f>$V$27</f>
        <v>1.1111111111111112</v>
      </c>
      <c r="AC32" s="181">
        <f>100*V32-100</f>
        <v>-24.64</v>
      </c>
      <c r="AD32" s="181">
        <f t="shared" ref="AD32:AE32" si="10">100*W32-100</f>
        <v>-66.47</v>
      </c>
      <c r="AE32" s="181">
        <f t="shared" si="10"/>
        <v>69.41</v>
      </c>
      <c r="AF32" s="181">
        <f>(AE32-AD32)/2</f>
        <v>67.94</v>
      </c>
      <c r="AG32" s="150">
        <f t="shared" ref="AG32:AH32" si="11">100*Z32-100</f>
        <v>-10</v>
      </c>
      <c r="AH32" s="150">
        <f t="shared" si="11"/>
        <v>11.111111111111114</v>
      </c>
      <c r="AJ32" s="143">
        <f>D32</f>
        <v>-0.2828</v>
      </c>
      <c r="AK32" s="143">
        <f>J32</f>
        <v>-1.0928</v>
      </c>
      <c r="AL32" s="143">
        <f>K32</f>
        <v>0.5272</v>
      </c>
      <c r="AM32" s="143">
        <f>LN(Z32)</f>
        <v>-0.10536051565782628</v>
      </c>
      <c r="AN32" s="143">
        <f>LN(AA32)</f>
        <v>0.10536051565782635</v>
      </c>
      <c r="AO32" s="143"/>
      <c r="AP32" s="143">
        <f>SQRT($D$11+$D$13*100/$N$6/L30)</f>
        <v>0.69178185671667447</v>
      </c>
      <c r="AQ32" s="175"/>
      <c r="AR32" s="143">
        <f>AJ32/AP32</f>
        <v>-0.40879938849830705</v>
      </c>
      <c r="AS32" s="143">
        <f>AK32/AP32</f>
        <v>-1.5796887261349009</v>
      </c>
      <c r="AT32" s="143">
        <f>AL32/AP32</f>
        <v>0.76208994913828676</v>
      </c>
      <c r="AU32" s="143">
        <f>$AR$26</f>
        <v>-0.2</v>
      </c>
      <c r="AV32" s="143">
        <f>$AR$27</f>
        <v>0.2</v>
      </c>
      <c r="AW32" s="204" t="str">
        <f>U32</f>
        <v>Week 6/Week 1</v>
      </c>
      <c r="AY32" s="233">
        <f>V32</f>
        <v>0.75360000000000005</v>
      </c>
      <c r="AZ32" s="234">
        <f>F32</f>
        <v>18</v>
      </c>
      <c r="BA32" s="233">
        <f>W32</f>
        <v>0.33529999999999999</v>
      </c>
      <c r="BB32" s="233">
        <f>X32</f>
        <v>1.6940999999999999</v>
      </c>
      <c r="BC32" s="233">
        <f>SQRT(BB32/BA32)</f>
        <v>2.2477745232090323</v>
      </c>
      <c r="BD32" s="235">
        <f>100*(1-I32)</f>
        <v>90</v>
      </c>
      <c r="BE32" s="228">
        <f>100-2*$BC$7</f>
        <v>90</v>
      </c>
      <c r="BF32" s="233" t="e">
        <f>$P$5*Z32+$Q$5*AA32</f>
        <v>#VALUE!</v>
      </c>
      <c r="BG32" s="233" t="e">
        <f>$Q$5*Z32+$P$5*AA32</f>
        <v>#VALUE!</v>
      </c>
      <c r="BH32" s="229">
        <f>AY32</f>
        <v>0.75360000000000005</v>
      </c>
      <c r="BI32" s="229">
        <f>EXP(LN(AY32)-TINV((100-BE32)/100,AZ32)*BX32)</f>
        <v>0.33526494415646457</v>
      </c>
      <c r="BJ32" s="229">
        <f>EXP(LN(AY32)+TINV((100-BE32)/100,AZ32)*BX32)</f>
        <v>1.693922880690327</v>
      </c>
      <c r="BK32" s="229">
        <f>SQRT(BJ32/BI32)</f>
        <v>2.2477745232090323</v>
      </c>
      <c r="BL32" s="243" t="e">
        <f>IF(BN32&lt;$BE$7,IF(MAX(BQ32,BT32)=BQ32,BS32&amp;" trivial; don't use",BV32&amp;" harmful; don't use"),IF(BT32&lt;$BA$7,BP32&amp;" beneficial; use","unclear; don't use"))</f>
        <v>#VALUE!</v>
      </c>
      <c r="BM32" s="243" t="e">
        <f>IF(MIN(BN32,BT32)&gt;$BC$7,"unclear",IF(MAX(BN32,BQ32,BT32)=BN32,BP32&amp;" "&amp;BF31,IF(MAX(BN32,BQ32,BT32)=BQ32,BS32&amp;" trivial",BV32&amp;" "&amp;BG31)))</f>
        <v>#VALUE!</v>
      </c>
      <c r="BN32" s="224" t="e">
        <f>100*IF(LN(BF32)&gt;0,IF(LN(AY32)-LN(BF32)&gt;0,1-TDIST((LN(AY32)-LN(BF32))/BX32,AZ32,1),TDIST((LN(BF32)-LN(AY32))/BX32,AZ32,1)),IF(LN(AY32)-LN(BF32)&gt;0,TDIST((LN(AY32)-LN(BF32))/BX32,AZ32,1),1-TDIST((LN(BF32)-LN(AY32))/BX32,AZ32,1)))</f>
        <v>#VALUE!</v>
      </c>
      <c r="BO32" s="225" t="s">
        <v>166</v>
      </c>
      <c r="BP32" s="226" t="e">
        <f>IF(BN32&lt;$BA$7,$AZ$7,IF(BN32&lt;$BC$7,$BB$7,IF(BN32&lt;$BE$7,$BD$7,IF(BN32&lt;$BG$7,$BF$7,IF(BN32&lt;$BI$7,$BH$7,IF(BN32&lt;$BK$7,$BJ$7,$BL$7))))))</f>
        <v>#VALUE!</v>
      </c>
      <c r="BQ32" s="227" t="e">
        <f>100-BN32-BT32</f>
        <v>#VALUE!</v>
      </c>
      <c r="BR32" s="225" t="s">
        <v>166</v>
      </c>
      <c r="BS32" s="226" t="e">
        <f>IF(BQ32&lt;$BA$7,$AZ$7,IF(BQ32&lt;$BC$7,$BB$7,IF(BQ32&lt;$BE$7,$BD$7,IF(BQ32&lt;$BG$7,$BF$7,IF(BQ32&lt;$BI$7,$BH$7,IF(BQ32&lt;$BK$7,$BJ$7,$BL$7))))))</f>
        <v>#VALUE!</v>
      </c>
      <c r="BT32" s="224" t="e">
        <f>100*IF(LN(BG32)&gt;0,IF(LN(AY32)-LN(BG32)&gt;0,1-TDIST((LN(AY32)-LN(BG32))/BX32,AZ32,1),TDIST((LN(BG32)-LN(AY32))/BX32,AZ32,1)),IF(LN(AY32)-LN(BG32)&gt;0,TDIST((LN(AY32)-LN(BG32))/BX32,AZ32,1),1-TDIST((LN(BG32)-LN(AY32))/BX32,AZ32,1)))</f>
        <v>#VALUE!</v>
      </c>
      <c r="BU32" s="225" t="s">
        <v>166</v>
      </c>
      <c r="BV32" s="226" t="e">
        <f>IF(BT32&lt;$BA$7,$AZ$7,IF(BT32&lt;$BC$7,$BB$7,IF(BT32&lt;$BE$7,$BD$7,IF(BT32&lt;$BG$7,$BF$7,IF(BT32&lt;$BI$7,$BH$7,IF(BT32&lt;$BK$7,$BJ$7,$BL$7))))))</f>
        <v>#VALUE!</v>
      </c>
      <c r="BW32" s="240" t="e">
        <f>BN32/(100-BN32)/(BT32/(100-BT32))</f>
        <v>#VALUE!</v>
      </c>
      <c r="BX32" s="230">
        <f>(LN(BB32)-LN(BA32))/2/TINV(1-BD32/100,AZ32)</f>
        <v>0.46707665327065323</v>
      </c>
      <c r="BY32" s="160" t="str">
        <f t="shared" ref="BY32:BY36" si="12">U32</f>
        <v>Week 6/Week 1</v>
      </c>
      <c r="BZ32" s="236">
        <f>AR32</f>
        <v>-0.40879938849830705</v>
      </c>
      <c r="CA32" s="234">
        <f>F32</f>
        <v>18</v>
      </c>
      <c r="CB32" s="236">
        <f>AS32</f>
        <v>-1.5796887261349009</v>
      </c>
      <c r="CC32" s="236">
        <f>AT32</f>
        <v>0.76208994913828676</v>
      </c>
      <c r="CD32" s="236">
        <f>(CC32-CB32)/2</f>
        <v>1.1708893376365939</v>
      </c>
      <c r="CE32" s="234">
        <f>100*(1-I32)</f>
        <v>90</v>
      </c>
      <c r="CF32" s="228">
        <f>100-2*$BC$7</f>
        <v>90</v>
      </c>
      <c r="CG32" s="233" t="e">
        <f>$P$5*AU32+$Q$5*AV32</f>
        <v>#VALUE!</v>
      </c>
      <c r="CH32" s="233" t="e">
        <f>$Q$5*AU32+$P$5*AV32</f>
        <v>#VALUE!</v>
      </c>
      <c r="CI32" s="242">
        <f>BZ32</f>
        <v>-0.40879938849830705</v>
      </c>
      <c r="CJ32" s="242">
        <f>BZ32-TINV((100-CF32)/100,CA32)*CY32</f>
        <v>-1.5796887261349009</v>
      </c>
      <c r="CK32" s="242">
        <f>BZ32+TINV((100-CF32)/100,CA32)*CY32</f>
        <v>0.76208994913828687</v>
      </c>
      <c r="CL32" s="242">
        <f>(CK32-CJ32)/2</f>
        <v>1.1708893376365939</v>
      </c>
      <c r="CM32" s="243" t="e">
        <f>IF(CO32&lt;$BE$7,IF(MAX(CR32,CU32)=CR32,CT32&amp;" trivial; don't use",CW32&amp;" harmful; don't use"),IF(CU32&lt;$BA$7,CQ32&amp;" beneficial; use","unclear; don't use"))</f>
        <v>#VALUE!</v>
      </c>
      <c r="CN32" s="243" t="e">
        <f>IF(MIN(CO32,CU32)&gt;$BC$7,"unclear",IF(MAX(CO32,CR32,CU32)=CO32,CQ32&amp;" "&amp;CG31,IF(MAX(CO32,CR32,CU32)=CR32,CT32&amp;" trivial",CW32&amp;" "&amp;CH31)))</f>
        <v>#VALUE!</v>
      </c>
      <c r="CO32" s="237" t="e">
        <f>100*IF(CG32&gt;0,IF(BZ32-CG32&gt;0,1-TDIST((BZ32-CG32)/CY32,CA32,1),TDIST((CG32-BZ32)/CY32,CA32,1)),IF(BZ32-CG32&gt;0,TDIST((BZ32-CG32)/CY32,CA32,1),1-TDIST((CG32-BZ32)/CY32,CA32,1)))</f>
        <v>#VALUE!</v>
      </c>
      <c r="CP32" s="238" t="s">
        <v>166</v>
      </c>
      <c r="CQ32" s="226" t="e">
        <f>IF(CO32&lt;$BA$7,$AZ$7,IF(CO32&lt;$BC$7,$BB$7,IF(CO32&lt;$BE$7,$BD$7,IF(CO32&lt;$BG$7,$BF$7,IF(CO32&lt;$BI$7,$BH$7,IF(CO32&lt;$BK$7,$BJ$7,$BL$7))))))</f>
        <v>#VALUE!</v>
      </c>
      <c r="CR32" s="239" t="e">
        <f>100-CO32-CU32</f>
        <v>#VALUE!</v>
      </c>
      <c r="CS32" s="238" t="s">
        <v>166</v>
      </c>
      <c r="CT32" s="226" t="e">
        <f>IF(CR32&lt;$BA$7,$AZ$7,IF(CR32&lt;$BC$7,$BB$7,IF(CR32&lt;$BE$7,$BD$7,IF(CR32&lt;$BG$7,$BF$7,IF(CR32&lt;$BI$7,$BH$7,IF(CR32&lt;$BK$7,$BJ$7,$BL$7))))))</f>
        <v>#VALUE!</v>
      </c>
      <c r="CU32" s="237" t="e">
        <f>100*IF(CH32&gt;0,IF(BZ32-CH32&gt;0,1-TDIST((BZ32-CH32)/CY32,CA32,1),TDIST((CH32-BZ32)/CY32,CA32,1)),IF(BZ32-CH32&gt;0,TDIST((BZ32-CH32)/CY32,CA32,1),1-TDIST((CH32-BZ32)/CY32,CA32,1)))</f>
        <v>#VALUE!</v>
      </c>
      <c r="CV32" s="238" t="s">
        <v>166</v>
      </c>
      <c r="CW32" s="226" t="e">
        <f>IF(CU32&lt;$BA$7,$AZ$7,IF(CU32&lt;$BC$7,$BB$7,IF(CU32&lt;$BE$7,$BD$7,IF(CU32&lt;$BG$7,$BF$7,IF(CU32&lt;$BI$7,$BH$7,IF(CU32&lt;$BK$7,$BJ$7,$BL$7))))))</f>
        <v>#VALUE!</v>
      </c>
      <c r="CX32" s="240" t="e">
        <f>CO32/(100-CO32)/(CU32/(100-CU32))</f>
        <v>#VALUE!</v>
      </c>
      <c r="CY32" s="230">
        <f>(CC32-CB32)/2/TINV(1-CE32/100,CA32)</f>
        <v>0.67522859782550193</v>
      </c>
      <c r="CZ32" s="258" t="str">
        <f t="shared" ref="CZ32" si="13">U32</f>
        <v>Week 6/Week 1</v>
      </c>
    </row>
    <row r="33" spans="3:104" ht="15.65" customHeight="1" x14ac:dyDescent="0.3">
      <c r="C33" s="155"/>
      <c r="D33" s="140">
        <v>0</v>
      </c>
      <c r="E33" s="165" t="s">
        <v>64</v>
      </c>
      <c r="F33" s="165" t="s">
        <v>64</v>
      </c>
      <c r="G33" s="165" t="s">
        <v>64</v>
      </c>
      <c r="H33" s="165" t="s">
        <v>64</v>
      </c>
      <c r="I33" s="165" t="s">
        <v>64</v>
      </c>
      <c r="J33" s="165" t="s">
        <v>64</v>
      </c>
      <c r="K33" s="166" t="s">
        <v>64</v>
      </c>
      <c r="L33" s="165" t="s">
        <v>64</v>
      </c>
      <c r="M33" s="165" t="s">
        <v>64</v>
      </c>
      <c r="N33" s="165" t="s">
        <v>64</v>
      </c>
      <c r="O33" s="165"/>
      <c r="P33" s="161"/>
      <c r="Q33" s="178"/>
      <c r="R33" s="183"/>
      <c r="U33" s="184"/>
      <c r="X33" s="168"/>
      <c r="Y33" s="168"/>
      <c r="Z33" s="144"/>
      <c r="AA33" s="144"/>
      <c r="AC33" s="197"/>
      <c r="AD33" s="197"/>
      <c r="AE33" s="198"/>
      <c r="AF33" s="198"/>
      <c r="AG33" s="199"/>
      <c r="AH33" s="199"/>
      <c r="AJ33" s="144"/>
      <c r="AK33" s="144"/>
      <c r="AL33" s="146"/>
      <c r="AM33" s="144"/>
      <c r="AN33" s="144"/>
      <c r="AO33" s="144"/>
      <c r="AP33" s="147"/>
      <c r="AR33" s="144"/>
      <c r="AS33" s="144"/>
      <c r="AT33" s="144"/>
      <c r="AU33" s="148"/>
      <c r="AV33" s="144"/>
      <c r="AW33" s="260"/>
      <c r="AY33" s="266" t="s">
        <v>210</v>
      </c>
      <c r="AZ33" s="267"/>
      <c r="BA33" s="267"/>
      <c r="BB33" s="267"/>
      <c r="BC33" s="267"/>
      <c r="BD33" s="267"/>
      <c r="BE33" s="268"/>
      <c r="BF33" s="277" t="s">
        <v>208</v>
      </c>
      <c r="BG33" s="278"/>
      <c r="BH33" s="281" t="s">
        <v>211</v>
      </c>
      <c r="BI33" s="282"/>
      <c r="BJ33" s="282"/>
      <c r="BK33" s="282"/>
      <c r="BL33" s="282"/>
      <c r="BM33" s="283"/>
      <c r="BN33" s="284" t="s">
        <v>150</v>
      </c>
      <c r="BO33" s="285"/>
      <c r="BP33" s="285"/>
      <c r="BQ33" s="285"/>
      <c r="BR33" s="285"/>
      <c r="BS33" s="285"/>
      <c r="BT33" s="285"/>
      <c r="BU33" s="285"/>
      <c r="BV33" s="286"/>
      <c r="BY33" s="163"/>
      <c r="BZ33" s="266" t="s">
        <v>169</v>
      </c>
      <c r="CA33" s="267"/>
      <c r="CB33" s="267"/>
      <c r="CC33" s="267"/>
      <c r="CD33" s="267"/>
      <c r="CE33" s="267"/>
      <c r="CF33" s="268"/>
      <c r="CG33" s="277" t="s">
        <v>208</v>
      </c>
      <c r="CH33" s="278"/>
      <c r="CI33" s="281" t="s">
        <v>180</v>
      </c>
      <c r="CJ33" s="282"/>
      <c r="CK33" s="282"/>
      <c r="CL33" s="282"/>
      <c r="CM33" s="282"/>
      <c r="CN33" s="283"/>
      <c r="CO33" s="284" t="s">
        <v>150</v>
      </c>
      <c r="CP33" s="285"/>
      <c r="CQ33" s="285"/>
      <c r="CR33" s="285"/>
      <c r="CS33" s="285"/>
      <c r="CT33" s="285"/>
      <c r="CU33" s="285"/>
      <c r="CV33" s="285"/>
      <c r="CW33" s="286"/>
    </row>
    <row r="34" spans="3:104" x14ac:dyDescent="0.3">
      <c r="C34" s="155" t="s">
        <v>43</v>
      </c>
      <c r="D34" s="140">
        <v>0.77929999999999999</v>
      </c>
      <c r="E34" s="140">
        <v>0.26729999999999998</v>
      </c>
      <c r="F34" s="140">
        <v>18</v>
      </c>
      <c r="G34" s="140">
        <v>2.92</v>
      </c>
      <c r="H34" s="140">
        <v>9.1999999999999998E-3</v>
      </c>
      <c r="I34" s="140">
        <v>0.1</v>
      </c>
      <c r="J34" s="140">
        <v>0.31580000000000003</v>
      </c>
      <c r="K34" s="140">
        <v>1.2427999999999999</v>
      </c>
      <c r="L34" s="140">
        <v>2.1800000000000002</v>
      </c>
      <c r="M34" s="140">
        <v>1.3714</v>
      </c>
      <c r="N34" s="140">
        <v>3.4653999999999998</v>
      </c>
      <c r="O34" s="140"/>
      <c r="P34" s="144"/>
      <c r="Q34" s="162" t="str">
        <f>C34</f>
        <v>Mean @ -1SD MTPf</v>
      </c>
      <c r="R34" s="149">
        <f t="shared" ref="R34:R35" si="14">L34</f>
        <v>2.1800000000000002</v>
      </c>
      <c r="U34" s="161" t="str">
        <f>IF(ISBLANK(C33),"",C33)</f>
        <v/>
      </c>
      <c r="V34" s="153"/>
      <c r="X34" s="147" t="s">
        <v>103</v>
      </c>
      <c r="Y34" s="147"/>
      <c r="Z34" s="144"/>
      <c r="AA34" s="144"/>
      <c r="AC34" s="200"/>
      <c r="AD34" s="197"/>
      <c r="AE34" s="150" t="s">
        <v>121</v>
      </c>
      <c r="AF34" s="150"/>
      <c r="AG34" s="199"/>
      <c r="AH34" s="199"/>
      <c r="AJ34" s="144"/>
      <c r="AK34" s="144"/>
      <c r="AL34" s="147" t="s">
        <v>102</v>
      </c>
      <c r="AM34" s="143"/>
      <c r="AN34" s="143"/>
      <c r="AO34" s="143"/>
      <c r="AP34" s="143" t="s">
        <v>75</v>
      </c>
      <c r="AR34" s="144"/>
      <c r="AS34" s="144"/>
      <c r="AT34" s="190" t="s">
        <v>193</v>
      </c>
      <c r="AU34" s="144"/>
      <c r="AV34" s="144"/>
      <c r="AW34" s="258" t="str">
        <f t="shared" ref="AW34" si="15">IF(ISBLANK(U34),"",U34)</f>
        <v/>
      </c>
      <c r="AY34" s="269" t="s">
        <v>175</v>
      </c>
      <c r="AZ34" s="271" t="s">
        <v>152</v>
      </c>
      <c r="BA34" s="273" t="s">
        <v>153</v>
      </c>
      <c r="BB34" s="274"/>
      <c r="BC34" s="275"/>
      <c r="BD34" s="276" t="s">
        <v>154</v>
      </c>
      <c r="BE34" s="276"/>
      <c r="BF34" s="231" t="s">
        <v>171</v>
      </c>
      <c r="BG34" s="232" t="s">
        <v>172</v>
      </c>
      <c r="BH34" s="273" t="str">
        <f>"Effect &amp; re-estimated "&amp;BE36&amp;"% confidence limits"</f>
        <v>Effect &amp; re-estimated 90% confidence limits</v>
      </c>
      <c r="BI34" s="274"/>
      <c r="BJ34" s="274"/>
      <c r="BK34" s="275"/>
      <c r="BL34" s="277" t="s">
        <v>155</v>
      </c>
      <c r="BM34" s="278"/>
      <c r="BN34" s="287" t="e">
        <f>"...beneficial or
substantially "&amp;BF35</f>
        <v>#VALUE!</v>
      </c>
      <c r="BO34" s="288"/>
      <c r="BP34" s="289"/>
      <c r="BQ34" s="293" t="s">
        <v>156</v>
      </c>
      <c r="BR34" s="293"/>
      <c r="BS34" s="294"/>
      <c r="BT34" s="297" t="e">
        <f>"...harmful or 
substantially "&amp;BG35</f>
        <v>#VALUE!</v>
      </c>
      <c r="BU34" s="298"/>
      <c r="BV34" s="299"/>
      <c r="BW34" s="303" t="s">
        <v>157</v>
      </c>
      <c r="BY34" s="259" t="str">
        <f t="shared" ref="BY34" si="16">IF(ISBLANK(U34),"",U34)</f>
        <v/>
      </c>
      <c r="BZ34" s="269" t="s">
        <v>151</v>
      </c>
      <c r="CA34" s="271" t="s">
        <v>152</v>
      </c>
      <c r="CB34" s="273" t="s">
        <v>153</v>
      </c>
      <c r="CC34" s="274"/>
      <c r="CD34" s="275"/>
      <c r="CE34" s="276" t="s">
        <v>154</v>
      </c>
      <c r="CF34" s="276"/>
      <c r="CG34" s="231" t="s">
        <v>171</v>
      </c>
      <c r="CH34" s="232" t="s">
        <v>172</v>
      </c>
      <c r="CI34" s="273" t="str">
        <f>"Effect &amp; re-estimated "&amp;CF36&amp;"% confidence limits"</f>
        <v>Effect &amp; re-estimated 90% confidence limits</v>
      </c>
      <c r="CJ34" s="274"/>
      <c r="CK34" s="274"/>
      <c r="CL34" s="275"/>
      <c r="CM34" s="277" t="s">
        <v>155</v>
      </c>
      <c r="CN34" s="278"/>
      <c r="CO34" s="287" t="e">
        <f>"...beneficial or
substantially "&amp;CG35</f>
        <v>#VALUE!</v>
      </c>
      <c r="CP34" s="288"/>
      <c r="CQ34" s="289"/>
      <c r="CR34" s="293" t="s">
        <v>156</v>
      </c>
      <c r="CS34" s="293"/>
      <c r="CT34" s="294"/>
      <c r="CU34" s="297" t="e">
        <f>"...harmful or 
substantially "&amp;CH35</f>
        <v>#VALUE!</v>
      </c>
      <c r="CV34" s="298"/>
      <c r="CW34" s="299"/>
      <c r="CX34" s="303" t="s">
        <v>157</v>
      </c>
      <c r="CZ34" s="154" t="str">
        <f t="shared" ref="CZ34" si="17">IF(ISBLANK(C33),"",C33)</f>
        <v/>
      </c>
    </row>
    <row r="35" spans="3:104" x14ac:dyDescent="0.3">
      <c r="C35" s="155" t="s">
        <v>44</v>
      </c>
      <c r="D35" s="140">
        <v>1.7092000000000001</v>
      </c>
      <c r="E35" s="140">
        <v>0.16819999999999999</v>
      </c>
      <c r="F35" s="140">
        <v>18</v>
      </c>
      <c r="G35" s="140">
        <v>10.16</v>
      </c>
      <c r="H35" s="140" t="s">
        <v>11</v>
      </c>
      <c r="I35" s="140">
        <v>0.1</v>
      </c>
      <c r="J35" s="140">
        <v>1.4176</v>
      </c>
      <c r="K35" s="140">
        <v>2.0009000000000001</v>
      </c>
      <c r="L35" s="140">
        <v>5.5247000000000002</v>
      </c>
      <c r="M35" s="140">
        <v>4.1272000000000002</v>
      </c>
      <c r="N35" s="140">
        <v>7.3954000000000004</v>
      </c>
      <c r="O35" s="140"/>
      <c r="P35" s="144"/>
      <c r="Q35" s="162" t="str">
        <f>C35</f>
        <v>Mean @ +1SD MTPf</v>
      </c>
      <c r="R35" s="149">
        <f t="shared" si="14"/>
        <v>5.5247000000000002</v>
      </c>
      <c r="T35" s="176"/>
      <c r="U35" s="196"/>
      <c r="V35" s="191" t="s">
        <v>2</v>
      </c>
      <c r="W35" s="191" t="s">
        <v>12</v>
      </c>
      <c r="X35" s="191" t="s">
        <v>13</v>
      </c>
      <c r="Y35" s="206" t="s">
        <v>141</v>
      </c>
      <c r="Z35" s="191" t="s">
        <v>61</v>
      </c>
      <c r="AA35" s="191" t="s">
        <v>60</v>
      </c>
      <c r="AC35" s="201" t="s">
        <v>2</v>
      </c>
      <c r="AD35" s="201" t="s">
        <v>12</v>
      </c>
      <c r="AE35" s="201" t="s">
        <v>13</v>
      </c>
      <c r="AF35" s="191" t="s">
        <v>230</v>
      </c>
      <c r="AG35" s="201" t="s">
        <v>61</v>
      </c>
      <c r="AH35" s="201" t="s">
        <v>60</v>
      </c>
      <c r="AJ35" s="191" t="s">
        <v>2</v>
      </c>
      <c r="AK35" s="191" t="s">
        <v>12</v>
      </c>
      <c r="AL35" s="191" t="s">
        <v>13</v>
      </c>
      <c r="AM35" s="191" t="s">
        <v>61</v>
      </c>
      <c r="AN35" s="191" t="s">
        <v>60</v>
      </c>
      <c r="AO35" s="191"/>
      <c r="AP35" s="192" t="s">
        <v>83</v>
      </c>
      <c r="AR35" s="191" t="s">
        <v>2</v>
      </c>
      <c r="AS35" s="191" t="s">
        <v>12</v>
      </c>
      <c r="AT35" s="191" t="s">
        <v>13</v>
      </c>
      <c r="AU35" s="193" t="s">
        <v>61</v>
      </c>
      <c r="AV35" s="193" t="s">
        <v>60</v>
      </c>
      <c r="AW35" s="260"/>
      <c r="AY35" s="270"/>
      <c r="AZ35" s="272"/>
      <c r="BA35" s="213" t="s">
        <v>158</v>
      </c>
      <c r="BB35" s="214" t="s">
        <v>159</v>
      </c>
      <c r="BC35" s="219" t="s">
        <v>168</v>
      </c>
      <c r="BD35" s="215" t="s">
        <v>160</v>
      </c>
      <c r="BE35" s="216" t="s">
        <v>161</v>
      </c>
      <c r="BF35" s="217" t="e">
        <f>IF(BF36&lt;1,"decr.","incr.")</f>
        <v>#VALUE!</v>
      </c>
      <c r="BG35" s="218" t="e">
        <f>IF(BG36&gt;1,"incr.","decr.")</f>
        <v>#VALUE!</v>
      </c>
      <c r="BH35" s="212" t="s">
        <v>17</v>
      </c>
      <c r="BI35" s="216" t="s">
        <v>162</v>
      </c>
      <c r="BJ35" s="216" t="s">
        <v>163</v>
      </c>
      <c r="BK35" s="219" t="s">
        <v>168</v>
      </c>
      <c r="BL35" s="220" t="s">
        <v>164</v>
      </c>
      <c r="BM35" s="221" t="s">
        <v>165</v>
      </c>
      <c r="BN35" s="290"/>
      <c r="BO35" s="291"/>
      <c r="BP35" s="292"/>
      <c r="BQ35" s="295"/>
      <c r="BR35" s="295"/>
      <c r="BS35" s="296"/>
      <c r="BT35" s="300"/>
      <c r="BU35" s="301"/>
      <c r="BV35" s="302"/>
      <c r="BW35" s="304"/>
      <c r="BX35" s="223" t="s">
        <v>167</v>
      </c>
      <c r="BY35" s="163"/>
      <c r="BZ35" s="270"/>
      <c r="CA35" s="272"/>
      <c r="CB35" s="213" t="s">
        <v>158</v>
      </c>
      <c r="CC35" s="214" t="s">
        <v>159</v>
      </c>
      <c r="CD35" s="219" t="s">
        <v>138</v>
      </c>
      <c r="CE35" s="215" t="s">
        <v>160</v>
      </c>
      <c r="CF35" s="216" t="s">
        <v>161</v>
      </c>
      <c r="CG35" s="217" t="e">
        <f>IF(CG36&lt;0,"decr.","incr.")</f>
        <v>#VALUE!</v>
      </c>
      <c r="CH35" s="218" t="e">
        <f>IF(CH36&gt;0,"incr.","decr.")</f>
        <v>#VALUE!</v>
      </c>
      <c r="CI35" s="212" t="s">
        <v>17</v>
      </c>
      <c r="CJ35" s="216" t="s">
        <v>162</v>
      </c>
      <c r="CK35" s="216" t="s">
        <v>163</v>
      </c>
      <c r="CL35" s="219" t="s">
        <v>138</v>
      </c>
      <c r="CM35" s="220" t="s">
        <v>164</v>
      </c>
      <c r="CN35" s="221" t="s">
        <v>165</v>
      </c>
      <c r="CO35" s="290"/>
      <c r="CP35" s="291"/>
      <c r="CQ35" s="292"/>
      <c r="CR35" s="295"/>
      <c r="CS35" s="295"/>
      <c r="CT35" s="296"/>
      <c r="CU35" s="300"/>
      <c r="CV35" s="301"/>
      <c r="CW35" s="302"/>
      <c r="CX35" s="304"/>
      <c r="CY35" s="222" t="s">
        <v>167</v>
      </c>
    </row>
    <row r="36" spans="3:104" x14ac:dyDescent="0.3">
      <c r="C36" s="155" t="s">
        <v>81</v>
      </c>
      <c r="D36" s="151">
        <v>0.92989999999999995</v>
      </c>
      <c r="E36" s="140">
        <v>0.32369999999999999</v>
      </c>
      <c r="F36" s="140">
        <v>18</v>
      </c>
      <c r="G36" s="151">
        <v>2.87</v>
      </c>
      <c r="H36" s="140">
        <v>1.01E-2</v>
      </c>
      <c r="I36" s="140">
        <v>0.1</v>
      </c>
      <c r="J36" s="151">
        <v>0.36859999999999998</v>
      </c>
      <c r="K36" s="140">
        <v>1.4912000000000001</v>
      </c>
      <c r="L36" s="140">
        <v>2.5341999999999998</v>
      </c>
      <c r="M36" s="140">
        <v>1.4457</v>
      </c>
      <c r="N36" s="140">
        <v>4.4424999999999999</v>
      </c>
      <c r="O36" s="140"/>
      <c r="U36" s="161" t="str">
        <f>C36</f>
        <v>MTPf +1SD/-1SD</v>
      </c>
      <c r="V36" s="180">
        <f>L36</f>
        <v>2.5341999999999998</v>
      </c>
      <c r="W36" s="180">
        <f>M36</f>
        <v>1.4457</v>
      </c>
      <c r="X36" s="180">
        <f>N36</f>
        <v>4.4424999999999999</v>
      </c>
      <c r="Y36" s="180">
        <f>SQRT(X36/W36)</f>
        <v>1.7529705812572969</v>
      </c>
      <c r="Z36" s="143">
        <f>$V$26</f>
        <v>0.9</v>
      </c>
      <c r="AA36" s="143">
        <f>$V$27</f>
        <v>1.1111111111111112</v>
      </c>
      <c r="AC36" s="181">
        <f>100*V36-100</f>
        <v>153.41999999999999</v>
      </c>
      <c r="AD36" s="181">
        <f t="shared" ref="AD36:AE36" si="18">100*W36-100</f>
        <v>44.569999999999993</v>
      </c>
      <c r="AE36" s="181">
        <f t="shared" si="18"/>
        <v>344.25</v>
      </c>
      <c r="AF36" s="181">
        <f>(AE36-AD36)/2</f>
        <v>149.84</v>
      </c>
      <c r="AG36" s="150">
        <f t="shared" ref="AG36:AH36" si="19">100*Z36-100</f>
        <v>-10</v>
      </c>
      <c r="AH36" s="150">
        <f t="shared" si="19"/>
        <v>11.111111111111114</v>
      </c>
      <c r="AJ36" s="143">
        <f>D36</f>
        <v>0.92989999999999995</v>
      </c>
      <c r="AK36" s="143">
        <f>J36</f>
        <v>0.36859999999999998</v>
      </c>
      <c r="AL36" s="143">
        <f>K36</f>
        <v>1.4912000000000001</v>
      </c>
      <c r="AM36" s="143">
        <f>LN(Z36)</f>
        <v>-0.10536051565782628</v>
      </c>
      <c r="AN36" s="143">
        <f>LN(AA36)</f>
        <v>0.10536051565782635</v>
      </c>
      <c r="AO36" s="143"/>
      <c r="AP36" s="143">
        <f>SQRT($D$11+$D$13*100/$N$6/L34)</f>
        <v>0.9367864256806081</v>
      </c>
      <c r="AQ36" s="175"/>
      <c r="AR36" s="143">
        <f>AJ36/AP36</f>
        <v>0.99264888400191653</v>
      </c>
      <c r="AS36" s="143">
        <f>AK36/AP36</f>
        <v>0.39347282357576774</v>
      </c>
      <c r="AT36" s="143">
        <f>AL36/AP36</f>
        <v>1.5918249444280654</v>
      </c>
      <c r="AU36" s="143">
        <f>$AR$26</f>
        <v>-0.2</v>
      </c>
      <c r="AV36" s="143">
        <f>$AR$27</f>
        <v>0.2</v>
      </c>
      <c r="AW36" s="204" t="str">
        <f t="shared" ref="AW36" si="20">U36</f>
        <v>MTPf +1SD/-1SD</v>
      </c>
      <c r="AY36" s="233">
        <f>V36</f>
        <v>2.5341999999999998</v>
      </c>
      <c r="AZ36" s="234">
        <f>F36</f>
        <v>18</v>
      </c>
      <c r="BA36" s="233">
        <f>W36</f>
        <v>1.4457</v>
      </c>
      <c r="BB36" s="233">
        <f>X36</f>
        <v>4.4424999999999999</v>
      </c>
      <c r="BC36" s="233">
        <f>SQRT(BB36/BA36)</f>
        <v>1.7529705812572969</v>
      </c>
      <c r="BD36" s="235">
        <f>100*(1-I36)</f>
        <v>90</v>
      </c>
      <c r="BE36" s="228">
        <f>100-2*$BC$7</f>
        <v>90</v>
      </c>
      <c r="BF36" s="233" t="e">
        <f>$P$5*Z36+$Q$5*AA36</f>
        <v>#VALUE!</v>
      </c>
      <c r="BG36" s="233" t="e">
        <f>$Q$5*Z36+$P$5*AA36</f>
        <v>#VALUE!</v>
      </c>
      <c r="BH36" s="229">
        <f>AY36</f>
        <v>2.5341999999999998</v>
      </c>
      <c r="BI36" s="229">
        <f>EXP(LN(AY36)-TINV((100-BE36)/100,AZ36)*BX36)</f>
        <v>1.4456603134676542</v>
      </c>
      <c r="BJ36" s="229">
        <f>EXP(LN(AY36)+TINV((100-BE36)/100,AZ36)*BX36)</f>
        <v>4.4423780470222409</v>
      </c>
      <c r="BK36" s="229">
        <f>SQRT(BJ36/BI36)</f>
        <v>1.7529705812572967</v>
      </c>
      <c r="BL36" s="243" t="e">
        <f>IF(BN36&lt;$BE$7,IF(MAX(BQ36,BT36)=BQ36,BS36&amp;" trivial; don't use",BV36&amp;" harmful; don't use"),IF(BT36&lt;$BA$7,BP36&amp;" beneficial; use","unclear; don't use"))</f>
        <v>#VALUE!</v>
      </c>
      <c r="BM36" s="243" t="e">
        <f>IF(MIN(BN36,BT36)&gt;$BC$7,"unclear",IF(MAX(BN36,BQ36,BT36)=BN36,BP36&amp;" "&amp;BF35,IF(MAX(BN36,BQ36,BT36)=BQ36,BS36&amp;" trivial",BV36&amp;" "&amp;BG35)))</f>
        <v>#VALUE!</v>
      </c>
      <c r="BN36" s="224" t="e">
        <f>100*IF(LN(BF36)&gt;0,IF(LN(AY36)-LN(BF36)&gt;0,1-TDIST((LN(AY36)-LN(BF36))/BX36,AZ36,1),TDIST((LN(BF36)-LN(AY36))/BX36,AZ36,1)),IF(LN(AY36)-LN(BF36)&gt;0,TDIST((LN(AY36)-LN(BF36))/BX36,AZ36,1),1-TDIST((LN(BF36)-LN(AY36))/BX36,AZ36,1)))</f>
        <v>#VALUE!</v>
      </c>
      <c r="BO36" s="225" t="s">
        <v>166</v>
      </c>
      <c r="BP36" s="226" t="e">
        <f>IF(BN36&lt;$BA$7,$AZ$7,IF(BN36&lt;$BC$7,$BB$7,IF(BN36&lt;$BE$7,$BD$7,IF(BN36&lt;$BG$7,$BF$7,IF(BN36&lt;$BI$7,$BH$7,IF(BN36&lt;$BK$7,$BJ$7,$BL$7))))))</f>
        <v>#VALUE!</v>
      </c>
      <c r="BQ36" s="227" t="e">
        <f>100-BN36-BT36</f>
        <v>#VALUE!</v>
      </c>
      <c r="BR36" s="225" t="s">
        <v>166</v>
      </c>
      <c r="BS36" s="226" t="e">
        <f>IF(BQ36&lt;$BA$7,$AZ$7,IF(BQ36&lt;$BC$7,$BB$7,IF(BQ36&lt;$BE$7,$BD$7,IF(BQ36&lt;$BG$7,$BF$7,IF(BQ36&lt;$BI$7,$BH$7,IF(BQ36&lt;$BK$7,$BJ$7,$BL$7))))))</f>
        <v>#VALUE!</v>
      </c>
      <c r="BT36" s="224" t="e">
        <f>100*IF(LN(BG36)&gt;0,IF(LN(AY36)-LN(BG36)&gt;0,1-TDIST((LN(AY36)-LN(BG36))/BX36,AZ36,1),TDIST((LN(BG36)-LN(AY36))/BX36,AZ36,1)),IF(LN(AY36)-LN(BG36)&gt;0,TDIST((LN(AY36)-LN(BG36))/BX36,AZ36,1),1-TDIST((LN(BG36)-LN(AY36))/BX36,AZ36,1)))</f>
        <v>#VALUE!</v>
      </c>
      <c r="BU36" s="225" t="s">
        <v>166</v>
      </c>
      <c r="BV36" s="226" t="e">
        <f>IF(BT36&lt;$BA$7,$AZ$7,IF(BT36&lt;$BC$7,$BB$7,IF(BT36&lt;$BE$7,$BD$7,IF(BT36&lt;$BG$7,$BF$7,IF(BT36&lt;$BI$7,$BH$7,IF(BT36&lt;$BK$7,$BJ$7,$BL$7))))))</f>
        <v>#VALUE!</v>
      </c>
      <c r="BW36" s="240" t="e">
        <f>BN36/(100-BN36)/(BT36/(100-BT36))</f>
        <v>#VALUE!</v>
      </c>
      <c r="BX36" s="230">
        <f>(LN(BB36)-LN(BA36))/2/TINV(1-BD36/100,AZ36)</f>
        <v>0.32369736710644564</v>
      </c>
      <c r="BY36" s="160" t="str">
        <f t="shared" si="12"/>
        <v>MTPf +1SD/-1SD</v>
      </c>
      <c r="BZ36" s="236">
        <f>AR36</f>
        <v>0.99264888400191653</v>
      </c>
      <c r="CA36" s="234">
        <f>F36</f>
        <v>18</v>
      </c>
      <c r="CB36" s="236">
        <f>AS36</f>
        <v>0.39347282357576774</v>
      </c>
      <c r="CC36" s="236">
        <f>AT36</f>
        <v>1.5918249444280654</v>
      </c>
      <c r="CD36" s="236">
        <f>(CC36-CB36)/2</f>
        <v>0.5991760604261489</v>
      </c>
      <c r="CE36" s="234">
        <f>100*(1-I36)</f>
        <v>90</v>
      </c>
      <c r="CF36" s="228">
        <f>100-2*$BC$7</f>
        <v>90</v>
      </c>
      <c r="CG36" s="233" t="e">
        <f>$P$5*AU36+$Q$5*AV36</f>
        <v>#VALUE!</v>
      </c>
      <c r="CH36" s="233" t="e">
        <f>$Q$5*AU36+$P$5*AV36</f>
        <v>#VALUE!</v>
      </c>
      <c r="CI36" s="242">
        <f>BZ36</f>
        <v>0.99264888400191653</v>
      </c>
      <c r="CJ36" s="242">
        <f>BZ36-TINV((100-CF36)/100,CA36)*CY36</f>
        <v>0.39347282357576763</v>
      </c>
      <c r="CK36" s="242">
        <f>BZ36+TINV((100-CF36)/100,CA36)*CY36</f>
        <v>1.5918249444280654</v>
      </c>
      <c r="CL36" s="242">
        <f>(CK36-CJ36)/2</f>
        <v>0.5991760604261489</v>
      </c>
      <c r="CM36" s="243" t="e">
        <f>IF(CO36&lt;$BE$7,IF(MAX(CR36,CU36)=CR36,CT36&amp;" trivial; don't use",CW36&amp;" harmful; don't use"),IF(CU36&lt;$BA$7,CQ36&amp;" beneficial; use","unclear; don't use"))</f>
        <v>#VALUE!</v>
      </c>
      <c r="CN36" s="243" t="e">
        <f>IF(MIN(CO36,CU36)&gt;$BC$7,"unclear",IF(MAX(CO36,CR36,CU36)=CO36,CQ36&amp;" "&amp;CG35,IF(MAX(CO36,CR36,CU36)=CR36,CT36&amp;" trivial",CW36&amp;" "&amp;CH35)))</f>
        <v>#VALUE!</v>
      </c>
      <c r="CO36" s="237" t="e">
        <f>100*IF(CG36&gt;0,IF(BZ36-CG36&gt;0,1-TDIST((BZ36-CG36)/CY36,CA36,1),TDIST((CG36-BZ36)/CY36,CA36,1)),IF(BZ36-CG36&gt;0,TDIST((BZ36-CG36)/CY36,CA36,1),1-TDIST((CG36-BZ36)/CY36,CA36,1)))</f>
        <v>#VALUE!</v>
      </c>
      <c r="CP36" s="238" t="s">
        <v>166</v>
      </c>
      <c r="CQ36" s="226" t="e">
        <f>IF(CO36&lt;$BA$7,$AZ$7,IF(CO36&lt;$BC$7,$BB$7,IF(CO36&lt;$BE$7,$BD$7,IF(CO36&lt;$BG$7,$BF$7,IF(CO36&lt;$BI$7,$BH$7,IF(CO36&lt;$BK$7,$BJ$7,$BL$7))))))</f>
        <v>#VALUE!</v>
      </c>
      <c r="CR36" s="239" t="e">
        <f>100-CO36-CU36</f>
        <v>#VALUE!</v>
      </c>
      <c r="CS36" s="238" t="s">
        <v>166</v>
      </c>
      <c r="CT36" s="226" t="e">
        <f>IF(CR36&lt;$BA$7,$AZ$7,IF(CR36&lt;$BC$7,$BB$7,IF(CR36&lt;$BE$7,$BD$7,IF(CR36&lt;$BG$7,$BF$7,IF(CR36&lt;$BI$7,$BH$7,IF(CR36&lt;$BK$7,$BJ$7,$BL$7))))))</f>
        <v>#VALUE!</v>
      </c>
      <c r="CU36" s="237" t="e">
        <f>100*IF(CH36&gt;0,IF(BZ36-CH36&gt;0,1-TDIST((BZ36-CH36)/CY36,CA36,1),TDIST((CH36-BZ36)/CY36,CA36,1)),IF(BZ36-CH36&gt;0,TDIST((BZ36-CH36)/CY36,CA36,1),1-TDIST((CH36-BZ36)/CY36,CA36,1)))</f>
        <v>#VALUE!</v>
      </c>
      <c r="CV36" s="238" t="s">
        <v>166</v>
      </c>
      <c r="CW36" s="226" t="e">
        <f>IF(CU36&lt;$BA$7,$AZ$7,IF(CU36&lt;$BC$7,$BB$7,IF(CU36&lt;$BE$7,$BD$7,IF(CU36&lt;$BG$7,$BF$7,IF(CU36&lt;$BI$7,$BH$7,IF(CU36&lt;$BK$7,$BJ$7,$BL$7))))))</f>
        <v>#VALUE!</v>
      </c>
      <c r="CX36" s="240" t="e">
        <f>CO36/(100-CO36)/(CU36/(100-CU36))</f>
        <v>#VALUE!</v>
      </c>
      <c r="CY36" s="230">
        <f>(CC36-CB36)/2/TINV(1-CE36/100,CA36)</f>
        <v>0.34553291940363157</v>
      </c>
      <c r="CZ36" s="258" t="str">
        <f t="shared" ref="CZ36" si="21">U36</f>
        <v>MTPf +1SD/-1SD</v>
      </c>
    </row>
    <row r="37" spans="3:104" x14ac:dyDescent="0.3">
      <c r="C37" s="177" t="s">
        <v>252</v>
      </c>
      <c r="D37" s="151"/>
      <c r="E37" s="140"/>
      <c r="F37" s="140"/>
      <c r="G37" s="151"/>
      <c r="H37" s="140"/>
      <c r="I37" s="140"/>
      <c r="J37" s="151"/>
      <c r="K37" s="140"/>
      <c r="L37" s="140"/>
      <c r="M37" s="140"/>
      <c r="N37" s="140"/>
      <c r="O37" s="140"/>
      <c r="T37" s="173"/>
      <c r="V37" s="143"/>
      <c r="W37" s="143"/>
      <c r="X37" s="143"/>
      <c r="Y37" s="143"/>
      <c r="Z37" s="170"/>
      <c r="AA37" s="172"/>
      <c r="AC37" s="143"/>
      <c r="AD37" s="143"/>
      <c r="AE37" s="143"/>
      <c r="AF37" s="143"/>
      <c r="AG37" s="170"/>
      <c r="AH37" s="172"/>
      <c r="AJ37" s="153"/>
      <c r="AK37" s="153"/>
      <c r="AL37" s="153"/>
      <c r="AM37" s="169"/>
      <c r="AN37" s="169"/>
      <c r="AO37" s="169"/>
      <c r="AP37" s="169"/>
      <c r="AQ37" s="175"/>
      <c r="AR37" s="169"/>
      <c r="AS37" s="169"/>
      <c r="AT37" s="169"/>
      <c r="AU37" s="170"/>
      <c r="AV37" s="172"/>
      <c r="AX37" s="163"/>
      <c r="BY37" s="163"/>
    </row>
    <row r="38" spans="3:104" x14ac:dyDescent="0.3">
      <c r="C38" s="177" t="s">
        <v>257</v>
      </c>
      <c r="D38" s="151"/>
      <c r="E38" s="140"/>
      <c r="F38" s="140"/>
      <c r="G38" s="151"/>
      <c r="H38" s="140"/>
      <c r="I38" s="140"/>
      <c r="J38" s="151"/>
      <c r="K38" s="140"/>
      <c r="L38" s="140"/>
      <c r="M38" s="140"/>
      <c r="N38" s="140"/>
      <c r="O38" s="140"/>
      <c r="T38" s="173"/>
      <c r="V38" s="143"/>
      <c r="W38" s="143"/>
      <c r="X38" s="143"/>
      <c r="Y38" s="143"/>
      <c r="Z38" s="170"/>
      <c r="AA38" s="172"/>
      <c r="AC38" s="143"/>
      <c r="AD38" s="143"/>
      <c r="AE38" s="143"/>
      <c r="AF38" s="143"/>
      <c r="AG38" s="170"/>
      <c r="AH38" s="172"/>
      <c r="AJ38" s="153"/>
      <c r="AK38" s="153"/>
      <c r="AL38" s="153"/>
      <c r="AM38" s="169"/>
      <c r="AN38" s="169"/>
      <c r="AO38" s="169"/>
      <c r="AP38" s="169"/>
      <c r="AQ38" s="175"/>
      <c r="AR38" s="169"/>
      <c r="AS38" s="169"/>
      <c r="AT38" s="169"/>
      <c r="AU38" s="170"/>
      <c r="AV38" s="172"/>
      <c r="AX38" s="259"/>
      <c r="BY38" s="259"/>
    </row>
    <row r="39" spans="3:104" x14ac:dyDescent="0.3">
      <c r="AX39" s="163"/>
      <c r="BY39" s="163"/>
    </row>
    <row r="40" spans="3:104" x14ac:dyDescent="0.3">
      <c r="F40" s="152" t="s">
        <v>89</v>
      </c>
      <c r="AX40" s="160"/>
      <c r="BY40" s="160"/>
    </row>
    <row r="41" spans="3:104" x14ac:dyDescent="0.3">
      <c r="F41" s="152" t="s">
        <v>254</v>
      </c>
      <c r="J41" s="141"/>
      <c r="K41" s="140"/>
      <c r="L41" s="140"/>
      <c r="M41" s="140"/>
      <c r="AX41" s="163"/>
      <c r="BY41" s="163"/>
    </row>
    <row r="42" spans="3:104" x14ac:dyDescent="0.3">
      <c r="F42" s="144" t="s">
        <v>122</v>
      </c>
      <c r="J42" s="141"/>
      <c r="K42" s="140"/>
      <c r="L42" s="140"/>
      <c r="M42" s="140"/>
      <c r="AX42" s="259"/>
      <c r="BY42" s="259"/>
    </row>
    <row r="43" spans="3:104" x14ac:dyDescent="0.3">
      <c r="F43" s="152"/>
      <c r="J43" s="141"/>
      <c r="K43" s="162" t="s">
        <v>77</v>
      </c>
      <c r="L43" s="143">
        <f>D11</f>
        <v>0</v>
      </c>
      <c r="M43" s="144" t="s">
        <v>78</v>
      </c>
      <c r="AX43" s="163"/>
      <c r="BY43" s="163"/>
    </row>
    <row r="44" spans="3:104" x14ac:dyDescent="0.3">
      <c r="K44" s="162" t="s">
        <v>76</v>
      </c>
      <c r="L44" s="143">
        <f>D13</f>
        <v>1.9131</v>
      </c>
      <c r="M44" s="144" t="s">
        <v>79</v>
      </c>
      <c r="AX44" s="160"/>
      <c r="BY44" s="160"/>
    </row>
    <row r="45" spans="3:104" x14ac:dyDescent="0.3">
      <c r="K45" s="161" t="s">
        <v>98</v>
      </c>
      <c r="L45" s="182">
        <f>L28*$N$6/100</f>
        <v>3.4704000000000002</v>
      </c>
      <c r="M45" s="144" t="s">
        <v>247</v>
      </c>
      <c r="AX45" s="163"/>
      <c r="BY45" s="163"/>
    </row>
    <row r="46" spans="3:104" x14ac:dyDescent="0.3">
      <c r="I46" s="152"/>
      <c r="J46" s="141"/>
      <c r="K46" s="162" t="s">
        <v>74</v>
      </c>
      <c r="L46" s="143">
        <f>L44*(1/L17)*100/$N$6</f>
        <v>0.5512621023513139</v>
      </c>
      <c r="M46" s="254" t="s">
        <v>242</v>
      </c>
      <c r="AX46" s="259"/>
      <c r="BY46" s="259"/>
    </row>
    <row r="47" spans="3:104" ht="15.65" customHeight="1" x14ac:dyDescent="0.3">
      <c r="I47" s="158"/>
      <c r="K47" s="162" t="s">
        <v>99</v>
      </c>
      <c r="L47" s="143">
        <f>SQRT(L43+L46)</f>
        <v>0.74247027034845903</v>
      </c>
      <c r="M47" s="254" t="s">
        <v>244</v>
      </c>
      <c r="AX47" s="163"/>
      <c r="BY47" s="163"/>
    </row>
    <row r="48" spans="3:104" ht="14.4" customHeight="1" x14ac:dyDescent="0.3">
      <c r="I48" s="158"/>
      <c r="K48" s="161" t="s">
        <v>100</v>
      </c>
      <c r="L48" s="180">
        <f>EXP(L47)</f>
        <v>2.1011194420632546</v>
      </c>
      <c r="M48" s="144" t="s">
        <v>101</v>
      </c>
      <c r="AX48" s="160"/>
      <c r="BY48" s="160"/>
    </row>
    <row r="49" spans="2:18" x14ac:dyDescent="0.3">
      <c r="I49" s="158"/>
      <c r="K49" s="161" t="s">
        <v>63</v>
      </c>
      <c r="L49" s="181">
        <f>100*L48-100</f>
        <v>110.11194420632546</v>
      </c>
      <c r="M49" s="144" t="s">
        <v>240</v>
      </c>
    </row>
    <row r="50" spans="2:18" ht="14.4" customHeight="1" x14ac:dyDescent="0.3"/>
    <row r="51" spans="2:18" x14ac:dyDescent="0.3">
      <c r="B51" s="152" t="s">
        <v>93</v>
      </c>
      <c r="C51" s="142"/>
      <c r="D51" s="143"/>
      <c r="H51" s="143"/>
      <c r="I51" s="143"/>
      <c r="K51" s="142"/>
      <c r="L51" s="142"/>
      <c r="M51" s="143"/>
      <c r="N51" s="143"/>
      <c r="O51" s="143"/>
    </row>
    <row r="52" spans="2:18" x14ac:dyDescent="0.3">
      <c r="B52" s="177" t="s">
        <v>94</v>
      </c>
      <c r="C52" s="142"/>
      <c r="D52" s="143"/>
      <c r="H52" s="143"/>
      <c r="I52" s="143"/>
      <c r="K52" s="142"/>
      <c r="L52" s="142"/>
      <c r="M52" s="146" t="s">
        <v>88</v>
      </c>
      <c r="N52" s="143"/>
      <c r="O52" s="143"/>
      <c r="Q52" s="146" t="s">
        <v>88</v>
      </c>
      <c r="R52" s="143"/>
    </row>
    <row r="53" spans="2:18" x14ac:dyDescent="0.3">
      <c r="B53" s="265" t="s">
        <v>16</v>
      </c>
      <c r="C53" s="265"/>
      <c r="D53" s="265"/>
      <c r="E53" s="265"/>
      <c r="F53" s="265"/>
      <c r="G53" s="265"/>
      <c r="H53" s="265"/>
      <c r="I53" s="265"/>
      <c r="J53" s="265"/>
      <c r="K53" s="265"/>
      <c r="L53" s="144"/>
      <c r="M53" s="147" t="s">
        <v>116</v>
      </c>
      <c r="N53" s="144"/>
      <c r="O53" s="144"/>
      <c r="Q53" s="147" t="s">
        <v>117</v>
      </c>
      <c r="R53" s="144"/>
    </row>
    <row r="54" spans="2:18" ht="30.05" x14ac:dyDescent="0.3">
      <c r="B54" s="141" t="s">
        <v>17</v>
      </c>
      <c r="C54" s="141" t="s">
        <v>1</v>
      </c>
      <c r="D54" s="141" t="s">
        <v>2</v>
      </c>
      <c r="E54" s="141" t="s">
        <v>18</v>
      </c>
      <c r="F54" s="141" t="s">
        <v>19</v>
      </c>
      <c r="G54" s="141" t="s">
        <v>20</v>
      </c>
      <c r="H54" s="141" t="s">
        <v>21</v>
      </c>
      <c r="I54" s="141" t="s">
        <v>22</v>
      </c>
      <c r="J54" s="141" t="s">
        <v>12</v>
      </c>
      <c r="K54" s="141" t="s">
        <v>13</v>
      </c>
      <c r="L54" s="142" t="s">
        <v>2</v>
      </c>
      <c r="M54" s="142" t="s">
        <v>12</v>
      </c>
      <c r="N54" s="142" t="s">
        <v>13</v>
      </c>
      <c r="O54" s="142"/>
      <c r="P54" s="142" t="s">
        <v>2</v>
      </c>
      <c r="Q54" s="142" t="s">
        <v>12</v>
      </c>
      <c r="R54" s="152" t="s">
        <v>13</v>
      </c>
    </row>
    <row r="55" spans="2:18" x14ac:dyDescent="0.3">
      <c r="B55" s="141" t="s">
        <v>7</v>
      </c>
      <c r="C55" s="141" t="s">
        <v>46</v>
      </c>
      <c r="D55" s="140">
        <v>0</v>
      </c>
      <c r="E55" s="140" t="s">
        <v>64</v>
      </c>
      <c r="F55" s="140" t="s">
        <v>64</v>
      </c>
      <c r="G55" s="140" t="s">
        <v>64</v>
      </c>
      <c r="H55" s="140" t="s">
        <v>64</v>
      </c>
      <c r="I55" s="140" t="s">
        <v>64</v>
      </c>
      <c r="J55" s="151" t="s">
        <v>64</v>
      </c>
      <c r="K55" s="140" t="s">
        <v>64</v>
      </c>
      <c r="L55" s="181" t="e">
        <f>100*_xlfn.T.DIST(D55/$D$17,$F55,1)</f>
        <v>#DIV/0!</v>
      </c>
      <c r="M55" s="150" t="e">
        <f t="shared" ref="M55:N64" si="22">100*_xlfn.T.DIST(J55/$D$17,$F55,1)</f>
        <v>#VALUE!</v>
      </c>
      <c r="N55" s="150" t="e">
        <f t="shared" si="22"/>
        <v>#VALUE!</v>
      </c>
      <c r="O55" s="150"/>
      <c r="P55" s="181" t="e">
        <f>100*_xlfn.T.DIST(D55/$L$47,$F55,1)</f>
        <v>#VALUE!</v>
      </c>
      <c r="Q55" s="150" t="e">
        <f t="shared" ref="Q55:R64" si="23">100*_xlfn.T.DIST(J55/$L$47,$F55,1)</f>
        <v>#VALUE!</v>
      </c>
      <c r="R55" s="150" t="e">
        <f t="shared" si="23"/>
        <v>#VALUE!</v>
      </c>
    </row>
    <row r="56" spans="2:18" x14ac:dyDescent="0.3">
      <c r="B56" s="141" t="s">
        <v>7</v>
      </c>
      <c r="C56" s="141" t="s">
        <v>47</v>
      </c>
      <c r="D56" s="140">
        <v>0</v>
      </c>
      <c r="E56" s="140" t="s">
        <v>64</v>
      </c>
      <c r="F56" s="140" t="s">
        <v>64</v>
      </c>
      <c r="G56" s="140" t="s">
        <v>64</v>
      </c>
      <c r="H56" s="140" t="s">
        <v>64</v>
      </c>
      <c r="I56" s="140" t="s">
        <v>64</v>
      </c>
      <c r="J56" s="151" t="s">
        <v>64</v>
      </c>
      <c r="K56" s="140" t="s">
        <v>64</v>
      </c>
      <c r="L56" s="181" t="e">
        <f t="shared" ref="L56:L64" si="24">100*_xlfn.T.DIST(D56/$D$17,$F56,1)</f>
        <v>#DIV/0!</v>
      </c>
      <c r="M56" s="150" t="e">
        <f t="shared" si="22"/>
        <v>#VALUE!</v>
      </c>
      <c r="N56" s="150" t="e">
        <f t="shared" si="22"/>
        <v>#VALUE!</v>
      </c>
      <c r="O56" s="150"/>
      <c r="P56" s="181" t="e">
        <f t="shared" ref="P56:P64" si="25">100*_xlfn.T.DIST(D56/$L$47,$F56,1)</f>
        <v>#VALUE!</v>
      </c>
      <c r="Q56" s="150" t="e">
        <f t="shared" si="23"/>
        <v>#VALUE!</v>
      </c>
      <c r="R56" s="150" t="e">
        <f t="shared" si="23"/>
        <v>#VALUE!</v>
      </c>
    </row>
    <row r="57" spans="2:18" x14ac:dyDescent="0.3">
      <c r="B57" s="141" t="s">
        <v>7</v>
      </c>
      <c r="C57" s="141" t="s">
        <v>48</v>
      </c>
      <c r="D57" s="140">
        <v>0</v>
      </c>
      <c r="E57" s="140" t="s">
        <v>64</v>
      </c>
      <c r="F57" s="140" t="s">
        <v>64</v>
      </c>
      <c r="G57" s="140" t="s">
        <v>64</v>
      </c>
      <c r="H57" s="140" t="s">
        <v>64</v>
      </c>
      <c r="I57" s="140" t="s">
        <v>64</v>
      </c>
      <c r="J57" s="151" t="s">
        <v>64</v>
      </c>
      <c r="K57" s="140" t="s">
        <v>64</v>
      </c>
      <c r="L57" s="181" t="e">
        <f t="shared" si="24"/>
        <v>#DIV/0!</v>
      </c>
      <c r="M57" s="150" t="e">
        <f t="shared" si="22"/>
        <v>#VALUE!</v>
      </c>
      <c r="N57" s="150" t="e">
        <f t="shared" si="22"/>
        <v>#VALUE!</v>
      </c>
      <c r="O57" s="150"/>
      <c r="P57" s="181" t="e">
        <f t="shared" si="25"/>
        <v>#VALUE!</v>
      </c>
      <c r="Q57" s="150" t="e">
        <f t="shared" si="23"/>
        <v>#VALUE!</v>
      </c>
      <c r="R57" s="150" t="e">
        <f t="shared" si="23"/>
        <v>#VALUE!</v>
      </c>
    </row>
    <row r="58" spans="2:18" x14ac:dyDescent="0.3">
      <c r="B58" s="141" t="s">
        <v>7</v>
      </c>
      <c r="C58" s="141" t="s">
        <v>49</v>
      </c>
      <c r="D58" s="151">
        <v>0</v>
      </c>
      <c r="E58" s="140" t="s">
        <v>64</v>
      </c>
      <c r="F58" s="140" t="s">
        <v>64</v>
      </c>
      <c r="G58" s="151" t="s">
        <v>64</v>
      </c>
      <c r="H58" s="140" t="s">
        <v>64</v>
      </c>
      <c r="I58" s="140" t="s">
        <v>64</v>
      </c>
      <c r="J58" s="151" t="s">
        <v>64</v>
      </c>
      <c r="K58" s="140" t="s">
        <v>64</v>
      </c>
      <c r="L58" s="181" t="e">
        <f t="shared" si="24"/>
        <v>#DIV/0!</v>
      </c>
      <c r="M58" s="150" t="e">
        <f t="shared" si="22"/>
        <v>#VALUE!</v>
      </c>
      <c r="N58" s="150" t="e">
        <f t="shared" si="22"/>
        <v>#VALUE!</v>
      </c>
      <c r="O58" s="150"/>
      <c r="P58" s="181" t="e">
        <f t="shared" si="25"/>
        <v>#VALUE!</v>
      </c>
      <c r="Q58" s="150" t="e">
        <f t="shared" si="23"/>
        <v>#VALUE!</v>
      </c>
      <c r="R58" s="150" t="e">
        <f t="shared" si="23"/>
        <v>#VALUE!</v>
      </c>
    </row>
    <row r="59" spans="2:18" x14ac:dyDescent="0.3">
      <c r="B59" s="141" t="s">
        <v>7</v>
      </c>
      <c r="C59" s="141" t="s">
        <v>50</v>
      </c>
      <c r="D59" s="151">
        <v>0</v>
      </c>
      <c r="E59" s="140" t="s">
        <v>64</v>
      </c>
      <c r="F59" s="140" t="s">
        <v>64</v>
      </c>
      <c r="G59" s="151" t="s">
        <v>64</v>
      </c>
      <c r="H59" s="140" t="s">
        <v>64</v>
      </c>
      <c r="I59" s="140" t="s">
        <v>64</v>
      </c>
      <c r="J59" s="151" t="s">
        <v>64</v>
      </c>
      <c r="K59" s="151" t="s">
        <v>64</v>
      </c>
      <c r="L59" s="181" t="e">
        <f t="shared" si="24"/>
        <v>#DIV/0!</v>
      </c>
      <c r="M59" s="150" t="e">
        <f t="shared" si="22"/>
        <v>#VALUE!</v>
      </c>
      <c r="N59" s="150" t="e">
        <f t="shared" si="22"/>
        <v>#VALUE!</v>
      </c>
      <c r="O59" s="150"/>
      <c r="P59" s="181" t="e">
        <f t="shared" si="25"/>
        <v>#VALUE!</v>
      </c>
      <c r="Q59" s="150" t="e">
        <f t="shared" si="23"/>
        <v>#VALUE!</v>
      </c>
      <c r="R59" s="150" t="e">
        <f t="shared" si="23"/>
        <v>#VALUE!</v>
      </c>
    </row>
    <row r="60" spans="2:18" x14ac:dyDescent="0.3">
      <c r="B60" s="141" t="s">
        <v>7</v>
      </c>
      <c r="C60" s="141" t="s">
        <v>51</v>
      </c>
      <c r="D60" s="151">
        <v>0</v>
      </c>
      <c r="E60" s="140" t="s">
        <v>64</v>
      </c>
      <c r="F60" s="140" t="s">
        <v>64</v>
      </c>
      <c r="G60" s="151" t="s">
        <v>64</v>
      </c>
      <c r="H60" s="140" t="s">
        <v>64</v>
      </c>
      <c r="I60" s="140" t="s">
        <v>64</v>
      </c>
      <c r="J60" s="151" t="s">
        <v>64</v>
      </c>
      <c r="K60" s="140" t="s">
        <v>64</v>
      </c>
      <c r="L60" s="181" t="e">
        <f t="shared" si="24"/>
        <v>#DIV/0!</v>
      </c>
      <c r="M60" s="150" t="e">
        <f t="shared" si="22"/>
        <v>#VALUE!</v>
      </c>
      <c r="N60" s="150" t="e">
        <f t="shared" si="22"/>
        <v>#VALUE!</v>
      </c>
      <c r="O60" s="150"/>
      <c r="P60" s="181" t="e">
        <f t="shared" si="25"/>
        <v>#VALUE!</v>
      </c>
      <c r="Q60" s="150" t="e">
        <f t="shared" si="23"/>
        <v>#VALUE!</v>
      </c>
      <c r="R60" s="150" t="e">
        <f t="shared" si="23"/>
        <v>#VALUE!</v>
      </c>
    </row>
    <row r="61" spans="2:18" x14ac:dyDescent="0.3">
      <c r="B61" s="141" t="s">
        <v>7</v>
      </c>
      <c r="C61" s="141" t="s">
        <v>52</v>
      </c>
      <c r="D61" s="140">
        <v>0</v>
      </c>
      <c r="E61" s="140" t="s">
        <v>64</v>
      </c>
      <c r="F61" s="140" t="s">
        <v>64</v>
      </c>
      <c r="G61" s="140" t="s">
        <v>64</v>
      </c>
      <c r="H61" s="140" t="s">
        <v>64</v>
      </c>
      <c r="I61" s="140" t="s">
        <v>64</v>
      </c>
      <c r="J61" s="151" t="s">
        <v>64</v>
      </c>
      <c r="K61" s="140" t="s">
        <v>64</v>
      </c>
      <c r="L61" s="181" t="e">
        <f t="shared" si="24"/>
        <v>#DIV/0!</v>
      </c>
      <c r="M61" s="150" t="e">
        <f t="shared" si="22"/>
        <v>#VALUE!</v>
      </c>
      <c r="N61" s="150" t="e">
        <f t="shared" si="22"/>
        <v>#VALUE!</v>
      </c>
      <c r="O61" s="150"/>
      <c r="P61" s="181" t="e">
        <f t="shared" si="25"/>
        <v>#VALUE!</v>
      </c>
      <c r="Q61" s="150" t="e">
        <f t="shared" si="23"/>
        <v>#VALUE!</v>
      </c>
      <c r="R61" s="150" t="e">
        <f t="shared" si="23"/>
        <v>#VALUE!</v>
      </c>
    </row>
    <row r="62" spans="2:18" x14ac:dyDescent="0.3">
      <c r="B62" s="141" t="s">
        <v>7</v>
      </c>
      <c r="C62" s="141" t="s">
        <v>53</v>
      </c>
      <c r="D62" s="151">
        <v>0</v>
      </c>
      <c r="E62" s="140" t="s">
        <v>64</v>
      </c>
      <c r="F62" s="140" t="s">
        <v>64</v>
      </c>
      <c r="G62" s="151" t="s">
        <v>64</v>
      </c>
      <c r="H62" s="140" t="s">
        <v>64</v>
      </c>
      <c r="I62" s="140" t="s">
        <v>64</v>
      </c>
      <c r="J62" s="151" t="s">
        <v>64</v>
      </c>
      <c r="K62" s="140" t="s">
        <v>64</v>
      </c>
      <c r="L62" s="181" t="e">
        <f t="shared" si="24"/>
        <v>#DIV/0!</v>
      </c>
      <c r="M62" s="150" t="e">
        <f t="shared" si="22"/>
        <v>#VALUE!</v>
      </c>
      <c r="N62" s="150" t="e">
        <f t="shared" si="22"/>
        <v>#VALUE!</v>
      </c>
      <c r="O62" s="150"/>
      <c r="P62" s="181" t="e">
        <f t="shared" si="25"/>
        <v>#VALUE!</v>
      </c>
      <c r="Q62" s="150" t="e">
        <f t="shared" si="23"/>
        <v>#VALUE!</v>
      </c>
      <c r="R62" s="150" t="e">
        <f t="shared" si="23"/>
        <v>#VALUE!</v>
      </c>
    </row>
    <row r="63" spans="2:18" x14ac:dyDescent="0.3">
      <c r="B63" s="141" t="s">
        <v>7</v>
      </c>
      <c r="C63" s="141" t="s">
        <v>54</v>
      </c>
      <c r="D63" s="140">
        <v>0</v>
      </c>
      <c r="E63" s="140" t="s">
        <v>64</v>
      </c>
      <c r="F63" s="140" t="s">
        <v>64</v>
      </c>
      <c r="G63" s="140" t="s">
        <v>64</v>
      </c>
      <c r="H63" s="140" t="s">
        <v>64</v>
      </c>
      <c r="I63" s="140" t="s">
        <v>64</v>
      </c>
      <c r="J63" s="151" t="s">
        <v>64</v>
      </c>
      <c r="K63" s="140" t="s">
        <v>64</v>
      </c>
      <c r="L63" s="181" t="e">
        <f t="shared" si="24"/>
        <v>#DIV/0!</v>
      </c>
      <c r="M63" s="150" t="e">
        <f t="shared" si="22"/>
        <v>#VALUE!</v>
      </c>
      <c r="N63" s="150" t="e">
        <f t="shared" si="22"/>
        <v>#VALUE!</v>
      </c>
      <c r="O63" s="150"/>
      <c r="P63" s="181" t="e">
        <f t="shared" si="25"/>
        <v>#VALUE!</v>
      </c>
      <c r="Q63" s="150" t="e">
        <f t="shared" si="23"/>
        <v>#VALUE!</v>
      </c>
      <c r="R63" s="150" t="e">
        <f t="shared" si="23"/>
        <v>#VALUE!</v>
      </c>
    </row>
    <row r="64" spans="2:18" x14ac:dyDescent="0.3">
      <c r="B64" s="141" t="s">
        <v>7</v>
      </c>
      <c r="C64" s="141" t="s">
        <v>55</v>
      </c>
      <c r="D64" s="140">
        <v>0</v>
      </c>
      <c r="E64" s="140" t="s">
        <v>64</v>
      </c>
      <c r="F64" s="140" t="s">
        <v>64</v>
      </c>
      <c r="G64" s="140" t="s">
        <v>64</v>
      </c>
      <c r="H64" s="140" t="s">
        <v>64</v>
      </c>
      <c r="I64" s="140" t="s">
        <v>64</v>
      </c>
      <c r="J64" s="151" t="s">
        <v>64</v>
      </c>
      <c r="K64" s="140" t="s">
        <v>64</v>
      </c>
      <c r="L64" s="181" t="e">
        <f t="shared" si="24"/>
        <v>#DIV/0!</v>
      </c>
      <c r="M64" s="150" t="e">
        <f t="shared" si="22"/>
        <v>#VALUE!</v>
      </c>
      <c r="N64" s="150" t="e">
        <f t="shared" si="22"/>
        <v>#VALUE!</v>
      </c>
      <c r="O64" s="150"/>
      <c r="P64" s="181" t="e">
        <f t="shared" si="25"/>
        <v>#VALUE!</v>
      </c>
      <c r="Q64" s="150" t="e">
        <f t="shared" si="23"/>
        <v>#VALUE!</v>
      </c>
      <c r="R64" s="150" t="e">
        <f t="shared" si="23"/>
        <v>#VALUE!</v>
      </c>
    </row>
  </sheetData>
  <mergeCells count="102">
    <mergeCell ref="P3:Q3"/>
    <mergeCell ref="B8:I8"/>
    <mergeCell ref="B9:B10"/>
    <mergeCell ref="C9:C10"/>
    <mergeCell ref="D9:D10"/>
    <mergeCell ref="F9:F10"/>
    <mergeCell ref="G9:G10"/>
    <mergeCell ref="H9:I10"/>
    <mergeCell ref="CI14:CN14"/>
    <mergeCell ref="CO14:CW14"/>
    <mergeCell ref="AY15:AY16"/>
    <mergeCell ref="AZ15:AZ16"/>
    <mergeCell ref="BA15:BC15"/>
    <mergeCell ref="BD15:BE15"/>
    <mergeCell ref="BH15:BK15"/>
    <mergeCell ref="BL15:BM15"/>
    <mergeCell ref="BN15:BP16"/>
    <mergeCell ref="BQ15:BS16"/>
    <mergeCell ref="AY14:BE14"/>
    <mergeCell ref="BF14:BG14"/>
    <mergeCell ref="BH14:BM14"/>
    <mergeCell ref="BN14:BV14"/>
    <mergeCell ref="BZ14:CF14"/>
    <mergeCell ref="CG14:CH14"/>
    <mergeCell ref="CI15:CL15"/>
    <mergeCell ref="CM15:CN15"/>
    <mergeCell ref="CO15:CQ16"/>
    <mergeCell ref="CR15:CT16"/>
    <mergeCell ref="CU15:CW16"/>
    <mergeCell ref="CX15:CX16"/>
    <mergeCell ref="BT15:BV16"/>
    <mergeCell ref="BW15:BW16"/>
    <mergeCell ref="BZ15:BZ16"/>
    <mergeCell ref="CA15:CA16"/>
    <mergeCell ref="CB15:CD15"/>
    <mergeCell ref="CE15:CF15"/>
    <mergeCell ref="C25:N25"/>
    <mergeCell ref="C26:C27"/>
    <mergeCell ref="D26:D27"/>
    <mergeCell ref="F26:F27"/>
    <mergeCell ref="G26:G27"/>
    <mergeCell ref="H26:H27"/>
    <mergeCell ref="I26:I27"/>
    <mergeCell ref="J26:J27"/>
    <mergeCell ref="K26:K27"/>
    <mergeCell ref="CI29:CN29"/>
    <mergeCell ref="CO29:CW29"/>
    <mergeCell ref="AY30:AY31"/>
    <mergeCell ref="AZ30:AZ31"/>
    <mergeCell ref="BA30:BC30"/>
    <mergeCell ref="BD30:BE30"/>
    <mergeCell ref="BH30:BK30"/>
    <mergeCell ref="BL30:BM30"/>
    <mergeCell ref="BN30:BP31"/>
    <mergeCell ref="BQ30:BS31"/>
    <mergeCell ref="AY29:BE29"/>
    <mergeCell ref="BF29:BG29"/>
    <mergeCell ref="BH29:BM29"/>
    <mergeCell ref="BN29:BV29"/>
    <mergeCell ref="BZ29:CF29"/>
    <mergeCell ref="CG29:CH29"/>
    <mergeCell ref="CI30:CL30"/>
    <mergeCell ref="CM30:CN30"/>
    <mergeCell ref="CO30:CQ31"/>
    <mergeCell ref="CR30:CT31"/>
    <mergeCell ref="CU30:CW31"/>
    <mergeCell ref="AY33:BE33"/>
    <mergeCell ref="BF33:BG33"/>
    <mergeCell ref="BH33:BM33"/>
    <mergeCell ref="BN33:BV33"/>
    <mergeCell ref="CX30:CX31"/>
    <mergeCell ref="BT30:BV31"/>
    <mergeCell ref="BW30:BW31"/>
    <mergeCell ref="BZ30:BZ31"/>
    <mergeCell ref="CA30:CA31"/>
    <mergeCell ref="CB30:CD30"/>
    <mergeCell ref="CE30:CF30"/>
    <mergeCell ref="CI33:CN33"/>
    <mergeCell ref="CO33:CW33"/>
    <mergeCell ref="BZ33:CF33"/>
    <mergeCell ref="CG33:CH33"/>
    <mergeCell ref="B53:K53"/>
    <mergeCell ref="CI34:CL34"/>
    <mergeCell ref="CM34:CN34"/>
    <mergeCell ref="CO34:CQ35"/>
    <mergeCell ref="CR34:CT35"/>
    <mergeCell ref="CU34:CW35"/>
    <mergeCell ref="CX34:CX35"/>
    <mergeCell ref="BT34:BV35"/>
    <mergeCell ref="BW34:BW35"/>
    <mergeCell ref="BZ34:BZ35"/>
    <mergeCell ref="CA34:CA35"/>
    <mergeCell ref="CB34:CD34"/>
    <mergeCell ref="CE34:CF34"/>
    <mergeCell ref="AY34:AY35"/>
    <mergeCell ref="AZ34:AZ35"/>
    <mergeCell ref="BA34:BC34"/>
    <mergeCell ref="BD34:BE34"/>
    <mergeCell ref="BH34:BK34"/>
    <mergeCell ref="BL34:BM34"/>
    <mergeCell ref="BN34:BP35"/>
    <mergeCell ref="BQ34:BS35"/>
  </mergeCells>
  <pageMargins left="0.7" right="0.7" top="0.75" bottom="0.75" header="0.3" footer="0.3"/>
  <pageSetup paperSize="9" orientation="portrait" horizontalDpi="4294967293"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CZ90"/>
  <sheetViews>
    <sheetView zoomScale="90" zoomScaleNormal="90" workbookViewId="0"/>
  </sheetViews>
  <sheetFormatPr defaultRowHeight="15.05" x14ac:dyDescent="0.3"/>
  <cols>
    <col min="1" max="2" width="8.88671875" style="139"/>
    <col min="3" max="3" width="12.21875" style="139" customWidth="1"/>
    <col min="4" max="4" width="12" style="139" customWidth="1"/>
    <col min="5" max="6" width="10.109375" style="139" customWidth="1"/>
    <col min="7" max="8" width="8.88671875" style="139" customWidth="1"/>
    <col min="9" max="11" width="8.88671875" style="139"/>
    <col min="12" max="12" width="13.44140625" style="139" customWidth="1"/>
    <col min="13" max="14" width="13.21875" style="139" customWidth="1"/>
    <col min="15" max="15" width="3.21875" style="139" customWidth="1"/>
    <col min="16" max="16" width="9" style="139" customWidth="1"/>
    <col min="17" max="17" width="7.77734375" style="139" customWidth="1"/>
    <col min="18" max="18" width="8.6640625" style="139" customWidth="1"/>
    <col min="19" max="19" width="2.44140625" style="139" customWidth="1"/>
    <col min="20" max="20" width="7.5546875" style="139" customWidth="1"/>
    <col min="21" max="21" width="3.88671875" style="139" customWidth="1"/>
    <col min="22" max="24" width="8.88671875" style="139"/>
    <col min="25" max="25" width="9.44140625" style="139" customWidth="1"/>
    <col min="26" max="27" width="8.88671875" style="139"/>
    <col min="28" max="28" width="3.44140625" style="139" customWidth="1"/>
    <col min="29" max="34" width="8.88671875" style="139"/>
    <col min="35" max="35" width="3.44140625" style="139" customWidth="1"/>
    <col min="36" max="40" width="8.88671875" style="139"/>
    <col min="41" max="41" width="1.6640625" style="139" customWidth="1"/>
    <col min="42" max="42" width="8.88671875" style="139"/>
    <col min="43" max="43" width="3.6640625" style="139" customWidth="1"/>
    <col min="44" max="48" width="8.88671875" style="139"/>
    <col min="49" max="49" width="8.88671875" style="260" customWidth="1"/>
    <col min="50" max="63" width="8.88671875" style="139"/>
    <col min="64" max="65" width="23.77734375" style="139" customWidth="1"/>
    <col min="66" max="66" width="8.88671875" style="139"/>
    <col min="67" max="67" width="2.33203125" style="139" customWidth="1"/>
    <col min="68" max="69" width="8.88671875" style="139"/>
    <col min="70" max="70" width="2.33203125" style="139" customWidth="1"/>
    <col min="71" max="72" width="8.88671875" style="139"/>
    <col min="73" max="73" width="2.33203125" style="139" customWidth="1"/>
    <col min="74" max="74" width="8.88671875" style="139"/>
    <col min="75" max="75" width="10.44140625" style="139" customWidth="1"/>
    <col min="76" max="76" width="8.88671875" style="139"/>
    <col min="77" max="77" width="18" style="139" customWidth="1"/>
    <col min="78" max="90" width="8.88671875" style="139"/>
    <col min="91" max="92" width="23.77734375" style="139" customWidth="1"/>
    <col min="93" max="93" width="8.88671875" style="139"/>
    <col min="94" max="94" width="2.33203125" style="139" customWidth="1"/>
    <col min="95" max="96" width="8.88671875" style="139"/>
    <col min="97" max="97" width="2.33203125" style="139" customWidth="1"/>
    <col min="98" max="99" width="8.88671875" style="139"/>
    <col min="100" max="100" width="2.33203125" style="139" customWidth="1"/>
    <col min="101" max="101" width="8.88671875" style="139"/>
    <col min="102" max="102" width="10.44140625" style="139" customWidth="1"/>
    <col min="103" max="16384" width="8.88671875" style="139"/>
  </cols>
  <sheetData>
    <row r="1" spans="2:103" ht="14.4" customHeight="1" x14ac:dyDescent="0.3"/>
    <row r="2" spans="2:103" ht="14.4" customHeight="1" x14ac:dyDescent="0.3">
      <c r="B2" s="154" t="s">
        <v>65</v>
      </c>
      <c r="X2" s="146" t="s">
        <v>187</v>
      </c>
      <c r="Y2" s="146"/>
      <c r="AE2" s="146" t="s">
        <v>218</v>
      </c>
      <c r="AF2" s="146"/>
      <c r="AL2" s="146" t="s">
        <v>192</v>
      </c>
      <c r="AT2" s="146" t="s">
        <v>188</v>
      </c>
    </row>
    <row r="3" spans="2:103" ht="14.4" customHeight="1" x14ac:dyDescent="0.3">
      <c r="B3" s="252" t="s">
        <v>234</v>
      </c>
      <c r="P3" s="279" t="s">
        <v>179</v>
      </c>
      <c r="Q3" s="279"/>
      <c r="R3" s="244"/>
      <c r="S3" s="244"/>
      <c r="X3" s="147" t="s">
        <v>135</v>
      </c>
      <c r="Y3" s="147"/>
      <c r="AE3" s="147" t="s">
        <v>239</v>
      </c>
      <c r="AF3" s="146"/>
      <c r="AL3" s="147" t="s">
        <v>217</v>
      </c>
      <c r="AT3" s="147" t="s">
        <v>186</v>
      </c>
      <c r="AY3" s="144" t="s">
        <v>207</v>
      </c>
    </row>
    <row r="4" spans="2:103" ht="14.4" customHeight="1" x14ac:dyDescent="0.3">
      <c r="D4" s="148" t="s">
        <v>176</v>
      </c>
      <c r="E4" s="205" t="s">
        <v>177</v>
      </c>
      <c r="F4" s="205" t="s">
        <v>178</v>
      </c>
      <c r="G4" s="144" t="s">
        <v>235</v>
      </c>
      <c r="J4" s="163"/>
      <c r="K4" s="163"/>
      <c r="P4" s="250" t="s">
        <v>178</v>
      </c>
      <c r="Q4" s="251" t="s">
        <v>177</v>
      </c>
      <c r="R4" s="255"/>
      <c r="S4" s="255"/>
      <c r="X4" s="147" t="s">
        <v>200</v>
      </c>
      <c r="Y4" s="147"/>
      <c r="AE4" s="147" t="s">
        <v>227</v>
      </c>
      <c r="AF4" s="147"/>
      <c r="AL4" s="147" t="s">
        <v>191</v>
      </c>
      <c r="AT4" s="147" t="s">
        <v>216</v>
      </c>
      <c r="AY4" s="144" t="s">
        <v>209</v>
      </c>
    </row>
    <row r="5" spans="2:103" ht="14.4" customHeight="1" x14ac:dyDescent="0.3">
      <c r="B5" s="144" t="s">
        <v>236</v>
      </c>
      <c r="P5" s="190" t="str">
        <f>IF(AND(IFERROR(SEARCH("incr",$E$4&amp;$F$4),0),IFERROR(SEARCH("decr",$E$4&amp;$F$4),0)),"???",IF(IFERROR(SEARCH("incr",$E$4&amp;$F$4),0),0,IF(IFERROR(SEARCH("decr",$E$4&amp;$F$4),0),1,"???")))</f>
        <v>???</v>
      </c>
      <c r="Q5" s="190" t="str">
        <f>IF(AND(IFERROR(SEARCH("incr",$E$4&amp;$F$4),0),IFERROR(SEARCH("decr",$E$4&amp;$F$4),0)),"???",IF(IFERROR(SEARCH("incr",$E$4&amp;$F$4),0),1,IF(IFERROR(SEARCH("decr",$E$4&amp;$F$4),0),0,"???")))</f>
        <v>???</v>
      </c>
      <c r="R5" s="190"/>
      <c r="S5" s="190"/>
      <c r="X5" s="147" t="s">
        <v>226</v>
      </c>
      <c r="Y5" s="147"/>
      <c r="AE5" s="147" t="s">
        <v>228</v>
      </c>
      <c r="AF5" s="147"/>
      <c r="AL5" s="164"/>
      <c r="AT5" s="147" t="s">
        <v>215</v>
      </c>
    </row>
    <row r="6" spans="2:103" ht="14.4" customHeight="1" x14ac:dyDescent="0.3">
      <c r="M6" s="148" t="s">
        <v>253</v>
      </c>
      <c r="N6" s="257">
        <v>100</v>
      </c>
      <c r="Q6" s="190"/>
      <c r="R6" s="190"/>
      <c r="S6" s="190"/>
      <c r="X6" s="147"/>
      <c r="Y6" s="147"/>
      <c r="AE6" s="147"/>
      <c r="AF6" s="147"/>
      <c r="AL6" s="164"/>
      <c r="AO6" s="163"/>
      <c r="AT6" s="147"/>
    </row>
    <row r="7" spans="2:103" ht="22.85" x14ac:dyDescent="0.3">
      <c r="E7" s="162"/>
      <c r="G7" s="144"/>
      <c r="AY7" s="207">
        <v>0</v>
      </c>
      <c r="AZ7" s="208" t="s">
        <v>143</v>
      </c>
      <c r="BA7" s="209">
        <v>0.5</v>
      </c>
      <c r="BB7" s="208" t="s">
        <v>144</v>
      </c>
      <c r="BC7" s="209">
        <v>5</v>
      </c>
      <c r="BD7" s="208" t="s">
        <v>145</v>
      </c>
      <c r="BE7" s="209">
        <v>25</v>
      </c>
      <c r="BF7" s="210" t="s">
        <v>146</v>
      </c>
      <c r="BG7" s="211">
        <f>100-BE7</f>
        <v>75</v>
      </c>
      <c r="BH7" s="208" t="s">
        <v>147</v>
      </c>
      <c r="BI7" s="211">
        <f>100-BC7</f>
        <v>95</v>
      </c>
      <c r="BJ7" s="208" t="s">
        <v>148</v>
      </c>
      <c r="BK7" s="211">
        <f>100-BA7</f>
        <v>99.5</v>
      </c>
      <c r="BL7" s="246" t="s">
        <v>149</v>
      </c>
    </row>
    <row r="8" spans="2:103" ht="14.4" customHeight="1" x14ac:dyDescent="0.3">
      <c r="B8" s="265" t="s">
        <v>59</v>
      </c>
      <c r="C8" s="265"/>
      <c r="D8" s="265"/>
      <c r="E8" s="265"/>
      <c r="F8" s="265"/>
      <c r="G8" s="265"/>
      <c r="H8" s="265"/>
      <c r="I8" s="265"/>
      <c r="J8" s="141"/>
      <c r="U8" s="145" t="s">
        <v>112</v>
      </c>
      <c r="AC8" s="145" t="s">
        <v>118</v>
      </c>
      <c r="AT8" s="146" t="s">
        <v>115</v>
      </c>
    </row>
    <row r="9" spans="2:103" ht="14.4" customHeight="1" x14ac:dyDescent="0.3">
      <c r="B9" s="280" t="s">
        <v>0</v>
      </c>
      <c r="C9" s="265" t="s">
        <v>1</v>
      </c>
      <c r="D9" s="265" t="s">
        <v>2</v>
      </c>
      <c r="E9" s="141" t="s">
        <v>3</v>
      </c>
      <c r="F9" s="265" t="s">
        <v>5</v>
      </c>
      <c r="G9" s="265" t="s">
        <v>37</v>
      </c>
      <c r="H9" s="265" t="s">
        <v>6</v>
      </c>
      <c r="I9" s="265"/>
      <c r="J9" s="141"/>
      <c r="T9" s="179"/>
      <c r="U9" s="179"/>
      <c r="V9" s="185" t="s">
        <v>14</v>
      </c>
      <c r="W9" s="185" t="s">
        <v>62</v>
      </c>
      <c r="X9" s="185" t="s">
        <v>15</v>
      </c>
      <c r="Y9" s="185" t="s">
        <v>110</v>
      </c>
      <c r="Z9" s="185" t="s">
        <v>111</v>
      </c>
      <c r="AC9" s="185" t="s">
        <v>14</v>
      </c>
      <c r="AD9" s="185" t="s">
        <v>62</v>
      </c>
      <c r="AE9" s="185" t="s">
        <v>15</v>
      </c>
      <c r="AF9" s="185" t="s">
        <v>110</v>
      </c>
      <c r="AG9" s="185" t="s">
        <v>111</v>
      </c>
      <c r="AP9" s="179"/>
      <c r="AQ9" s="179"/>
      <c r="AR9" s="185" t="s">
        <v>14</v>
      </c>
      <c r="AS9" s="185" t="s">
        <v>62</v>
      </c>
      <c r="AT9" s="185" t="s">
        <v>15</v>
      </c>
      <c r="AU9" s="185" t="s">
        <v>110</v>
      </c>
      <c r="AV9" s="185" t="s">
        <v>111</v>
      </c>
    </row>
    <row r="10" spans="2:103" x14ac:dyDescent="0.3">
      <c r="B10" s="280"/>
      <c r="C10" s="265"/>
      <c r="D10" s="265"/>
      <c r="E10" s="141" t="s">
        <v>4</v>
      </c>
      <c r="F10" s="265"/>
      <c r="G10" s="265"/>
      <c r="H10" s="265"/>
      <c r="I10" s="265"/>
      <c r="J10" s="141"/>
      <c r="U10" s="160" t="s">
        <v>108</v>
      </c>
      <c r="V10" s="143">
        <f t="shared" ref="V10:Z11" si="0">SQRT(V26)</f>
        <v>0.94868329805051377</v>
      </c>
      <c r="W10" s="143">
        <f t="shared" si="0"/>
        <v>0.83666002653407556</v>
      </c>
      <c r="X10" s="143">
        <f t="shared" si="0"/>
        <v>0.70710678118654757</v>
      </c>
      <c r="Y10" s="143">
        <f t="shared" si="0"/>
        <v>0.54772255750516607</v>
      </c>
      <c r="Z10" s="143">
        <f t="shared" si="0"/>
        <v>0.31622776601683794</v>
      </c>
      <c r="AC10" s="149">
        <f t="shared" ref="AC10:AG11" si="1">100*V10-100</f>
        <v>-5.1316701949486259</v>
      </c>
      <c r="AD10" s="150">
        <f t="shared" si="1"/>
        <v>-16.33399734659244</v>
      </c>
      <c r="AE10" s="150">
        <f t="shared" si="1"/>
        <v>-29.289321881345245</v>
      </c>
      <c r="AF10" s="150">
        <f t="shared" si="1"/>
        <v>-45.227744249483393</v>
      </c>
      <c r="AG10" s="150">
        <f t="shared" si="1"/>
        <v>-68.377223398316204</v>
      </c>
      <c r="AQ10" s="160" t="s">
        <v>108</v>
      </c>
      <c r="AR10" s="143">
        <f t="shared" ref="AR10:AV11" si="2">0.5*AR26</f>
        <v>-0.1</v>
      </c>
      <c r="AS10" s="143">
        <f t="shared" si="2"/>
        <v>-0.3</v>
      </c>
      <c r="AT10" s="143">
        <f t="shared" si="2"/>
        <v>-0.6</v>
      </c>
      <c r="AU10" s="143">
        <f t="shared" si="2"/>
        <v>-1</v>
      </c>
      <c r="AV10" s="143">
        <f t="shared" si="2"/>
        <v>-2</v>
      </c>
    </row>
    <row r="11" spans="2:103" ht="14.4" x14ac:dyDescent="0.3">
      <c r="B11" s="159" t="s">
        <v>7</v>
      </c>
      <c r="C11" s="141" t="s">
        <v>8</v>
      </c>
      <c r="D11" s="140">
        <v>6.8360000000000004E-2</v>
      </c>
      <c r="E11" s="140">
        <v>4.1889999999999997E-2</v>
      </c>
      <c r="F11" s="140">
        <v>1.63</v>
      </c>
      <c r="G11" s="140">
        <v>5.1400000000000001E-2</v>
      </c>
      <c r="H11" s="140">
        <v>3.1460000000000002E-2</v>
      </c>
      <c r="I11" s="140">
        <v>0.28010000000000002</v>
      </c>
      <c r="J11" s="140"/>
      <c r="L11" s="164"/>
      <c r="M11" s="164"/>
      <c r="U11" s="160" t="s">
        <v>109</v>
      </c>
      <c r="V11" s="143">
        <f t="shared" si="0"/>
        <v>1.0540925533894598</v>
      </c>
      <c r="W11" s="143">
        <f t="shared" si="0"/>
        <v>1.1952286093343936</v>
      </c>
      <c r="X11" s="143">
        <f t="shared" si="0"/>
        <v>1.4142135623730951</v>
      </c>
      <c r="Y11" s="143">
        <f t="shared" si="0"/>
        <v>1.8257418583505538</v>
      </c>
      <c r="Z11" s="149">
        <f t="shared" si="0"/>
        <v>3.1622776601683795</v>
      </c>
      <c r="AC11" s="149">
        <f t="shared" si="1"/>
        <v>5.4092553389459823</v>
      </c>
      <c r="AD11" s="150">
        <f t="shared" si="1"/>
        <v>19.522860933439361</v>
      </c>
      <c r="AE11" s="150">
        <f t="shared" si="1"/>
        <v>41.42135623730951</v>
      </c>
      <c r="AF11" s="150">
        <f t="shared" si="1"/>
        <v>82.574185835055374</v>
      </c>
      <c r="AG11" s="150">
        <f t="shared" si="1"/>
        <v>216.22776601683796</v>
      </c>
      <c r="AQ11" s="160" t="s">
        <v>109</v>
      </c>
      <c r="AR11" s="143">
        <f t="shared" si="2"/>
        <v>0.1</v>
      </c>
      <c r="AS11" s="143">
        <f t="shared" si="2"/>
        <v>0.3</v>
      </c>
      <c r="AT11" s="143">
        <f t="shared" si="2"/>
        <v>0.6</v>
      </c>
      <c r="AU11" s="143">
        <f t="shared" si="2"/>
        <v>1</v>
      </c>
      <c r="AV11" s="143">
        <f t="shared" si="2"/>
        <v>2</v>
      </c>
    </row>
    <row r="12" spans="2:103" ht="14.4" x14ac:dyDescent="0.3">
      <c r="B12" s="155" t="s">
        <v>9</v>
      </c>
      <c r="C12" s="141"/>
      <c r="D12" s="140">
        <v>3.805E-2</v>
      </c>
      <c r="E12" s="140">
        <v>3.8019999999999998E-2</v>
      </c>
      <c r="F12" s="140">
        <v>1</v>
      </c>
      <c r="G12" s="140">
        <v>0.15840000000000001</v>
      </c>
      <c r="H12" s="140">
        <v>1.2710000000000001E-2</v>
      </c>
      <c r="I12" s="140">
        <v>0.73850000000000005</v>
      </c>
      <c r="J12" s="253" t="s">
        <v>205</v>
      </c>
      <c r="L12" s="153"/>
      <c r="M12" s="144"/>
    </row>
    <row r="13" spans="2:103" ht="15.65" customHeight="1" x14ac:dyDescent="0.3">
      <c r="B13" s="155" t="s">
        <v>10</v>
      </c>
      <c r="C13" s="141"/>
      <c r="D13" s="140">
        <v>1.6642999999999999</v>
      </c>
      <c r="E13" s="140">
        <v>0.27950000000000003</v>
      </c>
      <c r="F13" s="140">
        <v>5.96</v>
      </c>
      <c r="G13" s="140" t="s">
        <v>11</v>
      </c>
      <c r="H13" s="140">
        <v>1.2888999999999999</v>
      </c>
      <c r="I13" s="140">
        <v>2.2467999999999999</v>
      </c>
      <c r="J13" s="253" t="s">
        <v>201</v>
      </c>
      <c r="L13" s="167"/>
    </row>
    <row r="14" spans="2:103" ht="15.65" customHeight="1" x14ac:dyDescent="0.3">
      <c r="V14" s="186"/>
      <c r="W14" s="186"/>
      <c r="X14" s="187" t="s">
        <v>238</v>
      </c>
      <c r="Y14" s="187"/>
      <c r="Z14" s="186"/>
      <c r="AA14" s="186"/>
      <c r="AB14" s="188"/>
      <c r="AC14" s="186"/>
      <c r="AD14" s="186"/>
      <c r="AE14" s="187" t="s">
        <v>237</v>
      </c>
      <c r="AF14" s="187"/>
      <c r="AG14" s="186"/>
      <c r="AH14" s="186"/>
      <c r="AI14" s="188"/>
      <c r="AJ14" s="186"/>
      <c r="AK14" s="186"/>
      <c r="AL14" s="187" t="s">
        <v>212</v>
      </c>
      <c r="AN14" s="186"/>
      <c r="AO14" s="186"/>
      <c r="AP14" s="186"/>
      <c r="AQ14" s="188"/>
      <c r="AR14" s="186"/>
      <c r="AS14" s="186"/>
      <c r="AT14" s="187" t="s">
        <v>213</v>
      </c>
      <c r="AU14" s="186"/>
      <c r="AV14" s="186"/>
      <c r="AY14" s="266" t="s">
        <v>210</v>
      </c>
      <c r="AZ14" s="267"/>
      <c r="BA14" s="267"/>
      <c r="BB14" s="267"/>
      <c r="BC14" s="267"/>
      <c r="BD14" s="267"/>
      <c r="BE14" s="268"/>
      <c r="BF14" s="277" t="s">
        <v>208</v>
      </c>
      <c r="BG14" s="278"/>
      <c r="BH14" s="281" t="s">
        <v>211</v>
      </c>
      <c r="BI14" s="282"/>
      <c r="BJ14" s="282"/>
      <c r="BK14" s="282"/>
      <c r="BL14" s="282"/>
      <c r="BM14" s="283"/>
      <c r="BN14" s="284" t="s">
        <v>150</v>
      </c>
      <c r="BO14" s="285"/>
      <c r="BP14" s="285"/>
      <c r="BQ14" s="285"/>
      <c r="BR14" s="285"/>
      <c r="BS14" s="285"/>
      <c r="BT14" s="285"/>
      <c r="BU14" s="285"/>
      <c r="BV14" s="286"/>
      <c r="BZ14" s="266" t="s">
        <v>169</v>
      </c>
      <c r="CA14" s="267"/>
      <c r="CB14" s="267"/>
      <c r="CC14" s="267"/>
      <c r="CD14" s="267"/>
      <c r="CE14" s="267"/>
      <c r="CF14" s="268"/>
      <c r="CG14" s="277" t="s">
        <v>208</v>
      </c>
      <c r="CH14" s="278"/>
      <c r="CI14" s="281" t="s">
        <v>180</v>
      </c>
      <c r="CJ14" s="282"/>
      <c r="CK14" s="282"/>
      <c r="CL14" s="282"/>
      <c r="CM14" s="282"/>
      <c r="CN14" s="283"/>
      <c r="CO14" s="284" t="s">
        <v>150</v>
      </c>
      <c r="CP14" s="285"/>
      <c r="CQ14" s="285"/>
      <c r="CR14" s="285"/>
      <c r="CS14" s="285"/>
      <c r="CT14" s="285"/>
      <c r="CU14" s="285"/>
      <c r="CV14" s="285"/>
      <c r="CW14" s="286"/>
    </row>
    <row r="15" spans="2:103" ht="14.4" customHeight="1" x14ac:dyDescent="0.3">
      <c r="B15" s="145" t="s">
        <v>107</v>
      </c>
      <c r="L15" s="147" t="s">
        <v>85</v>
      </c>
      <c r="U15" s="171"/>
      <c r="V15" s="189"/>
      <c r="W15" s="186"/>
      <c r="X15" s="190" t="s">
        <v>103</v>
      </c>
      <c r="Y15" s="190"/>
      <c r="Z15" s="186"/>
      <c r="AA15" s="186"/>
      <c r="AB15" s="188"/>
      <c r="AC15" s="189"/>
      <c r="AD15" s="186"/>
      <c r="AE15" s="190" t="s">
        <v>103</v>
      </c>
      <c r="AF15" s="190"/>
      <c r="AG15" s="186"/>
      <c r="AH15" s="186"/>
      <c r="AI15" s="188"/>
      <c r="AJ15" s="186"/>
      <c r="AK15" s="186"/>
      <c r="AL15" s="190" t="s">
        <v>102</v>
      </c>
      <c r="AM15" s="189"/>
      <c r="AN15" s="189"/>
      <c r="AO15" s="189"/>
      <c r="AP15" s="189" t="s">
        <v>75</v>
      </c>
      <c r="AQ15" s="188"/>
      <c r="AR15" s="186"/>
      <c r="AS15" s="186"/>
      <c r="AT15" s="190" t="s">
        <v>193</v>
      </c>
      <c r="AU15" s="186"/>
      <c r="AV15" s="186"/>
      <c r="AY15" s="269" t="s">
        <v>175</v>
      </c>
      <c r="AZ15" s="271" t="s">
        <v>152</v>
      </c>
      <c r="BA15" s="273" t="s">
        <v>153</v>
      </c>
      <c r="BB15" s="274"/>
      <c r="BC15" s="275"/>
      <c r="BD15" s="276" t="s">
        <v>154</v>
      </c>
      <c r="BE15" s="276"/>
      <c r="BF15" s="231" t="s">
        <v>171</v>
      </c>
      <c r="BG15" s="232" t="s">
        <v>172</v>
      </c>
      <c r="BH15" s="273" t="str">
        <f>"Effect &amp; re-estimated "&amp;BE17&amp;"% confidence limits"</f>
        <v>Effect &amp; re-estimated 90% confidence limits</v>
      </c>
      <c r="BI15" s="274"/>
      <c r="BJ15" s="274"/>
      <c r="BK15" s="275"/>
      <c r="BL15" s="277" t="s">
        <v>155</v>
      </c>
      <c r="BM15" s="278"/>
      <c r="BN15" s="287" t="e">
        <f>"...beneficial or
substantially "&amp;BF16</f>
        <v>#VALUE!</v>
      </c>
      <c r="BO15" s="288"/>
      <c r="BP15" s="289"/>
      <c r="BQ15" s="293" t="s">
        <v>156</v>
      </c>
      <c r="BR15" s="293"/>
      <c r="BS15" s="294"/>
      <c r="BT15" s="297" t="e">
        <f>"...harmful or 
substantially "&amp;BG16</f>
        <v>#VALUE!</v>
      </c>
      <c r="BU15" s="298"/>
      <c r="BV15" s="299"/>
      <c r="BW15" s="303"/>
      <c r="BZ15" s="269" t="s">
        <v>151</v>
      </c>
      <c r="CA15" s="271" t="s">
        <v>152</v>
      </c>
      <c r="CB15" s="273" t="s">
        <v>153</v>
      </c>
      <c r="CC15" s="274"/>
      <c r="CD15" s="275"/>
      <c r="CE15" s="276" t="s">
        <v>154</v>
      </c>
      <c r="CF15" s="276"/>
      <c r="CG15" s="231" t="s">
        <v>171</v>
      </c>
      <c r="CH15" s="232" t="s">
        <v>172</v>
      </c>
      <c r="CI15" s="273" t="str">
        <f>"Effect &amp; re-estimated "&amp;CF17&amp;"% confidence limits"</f>
        <v>Effect &amp; re-estimated 90% confidence limits</v>
      </c>
      <c r="CJ15" s="274"/>
      <c r="CK15" s="274"/>
      <c r="CL15" s="275"/>
      <c r="CM15" s="277" t="s">
        <v>155</v>
      </c>
      <c r="CN15" s="278"/>
      <c r="CO15" s="287" t="e">
        <f>"...beneficial or
substantially "&amp;CG16</f>
        <v>#VALUE!</v>
      </c>
      <c r="CP15" s="288"/>
      <c r="CQ15" s="289"/>
      <c r="CR15" s="293" t="s">
        <v>156</v>
      </c>
      <c r="CS15" s="293"/>
      <c r="CT15" s="294"/>
      <c r="CU15" s="297" t="e">
        <f>"...harmful or 
substantially "&amp;CH16</f>
        <v>#VALUE!</v>
      </c>
      <c r="CV15" s="298"/>
      <c r="CW15" s="299"/>
      <c r="CX15" s="303"/>
    </row>
    <row r="16" spans="2:103" ht="14.4" customHeight="1" x14ac:dyDescent="0.3">
      <c r="B16" s="176"/>
      <c r="C16" s="176"/>
      <c r="D16" s="185" t="s">
        <v>2</v>
      </c>
      <c r="E16" s="185" t="s">
        <v>12</v>
      </c>
      <c r="F16" s="185" t="s">
        <v>13</v>
      </c>
      <c r="G16" s="185" t="s">
        <v>137</v>
      </c>
      <c r="H16" s="185" t="s">
        <v>22</v>
      </c>
      <c r="L16" s="185" t="s">
        <v>206</v>
      </c>
      <c r="T16" s="176"/>
      <c r="U16" s="176"/>
      <c r="V16" s="191" t="s">
        <v>2</v>
      </c>
      <c r="W16" s="191" t="s">
        <v>260</v>
      </c>
      <c r="X16" s="191" t="s">
        <v>261</v>
      </c>
      <c r="Y16" s="206" t="s">
        <v>229</v>
      </c>
      <c r="Z16" s="191" t="s">
        <v>61</v>
      </c>
      <c r="AA16" s="191" t="s">
        <v>60</v>
      </c>
      <c r="AB16" s="188"/>
      <c r="AC16" s="191" t="s">
        <v>2</v>
      </c>
      <c r="AD16" s="191" t="s">
        <v>260</v>
      </c>
      <c r="AE16" s="191" t="s">
        <v>261</v>
      </c>
      <c r="AF16" s="191" t="s">
        <v>230</v>
      </c>
      <c r="AG16" s="191" t="s">
        <v>61</v>
      </c>
      <c r="AH16" s="191" t="s">
        <v>60</v>
      </c>
      <c r="AI16" s="188"/>
      <c r="AJ16" s="191" t="s">
        <v>2</v>
      </c>
      <c r="AK16" s="191" t="s">
        <v>260</v>
      </c>
      <c r="AL16" s="191" t="s">
        <v>261</v>
      </c>
      <c r="AM16" s="191" t="s">
        <v>61</v>
      </c>
      <c r="AN16" s="191" t="s">
        <v>60</v>
      </c>
      <c r="AO16" s="191"/>
      <c r="AP16" s="192" t="s">
        <v>83</v>
      </c>
      <c r="AQ16" s="188"/>
      <c r="AR16" s="191" t="s">
        <v>2</v>
      </c>
      <c r="AS16" s="191" t="s">
        <v>260</v>
      </c>
      <c r="AT16" s="191" t="s">
        <v>261</v>
      </c>
      <c r="AU16" s="193" t="s">
        <v>61</v>
      </c>
      <c r="AV16" s="193" t="s">
        <v>60</v>
      </c>
      <c r="AY16" s="270"/>
      <c r="AZ16" s="272"/>
      <c r="BA16" s="262" t="s">
        <v>262</v>
      </c>
      <c r="BB16" s="263" t="s">
        <v>263</v>
      </c>
      <c r="BC16" s="219" t="s">
        <v>225</v>
      </c>
      <c r="BD16" s="215" t="s">
        <v>160</v>
      </c>
      <c r="BE16" s="216" t="s">
        <v>161</v>
      </c>
      <c r="BF16" s="217" t="e">
        <f>IF(BF17&lt;1,"decr.","incr.")</f>
        <v>#VALUE!</v>
      </c>
      <c r="BG16" s="218" t="e">
        <f>IF(BG17&gt;1,"incr.","decr.")</f>
        <v>#VALUE!</v>
      </c>
      <c r="BH16" s="212" t="s">
        <v>17</v>
      </c>
      <c r="BI16" s="262" t="s">
        <v>262</v>
      </c>
      <c r="BJ16" s="263" t="s">
        <v>263</v>
      </c>
      <c r="BK16" s="219" t="s">
        <v>225</v>
      </c>
      <c r="BL16" s="220" t="s">
        <v>164</v>
      </c>
      <c r="BM16" s="221" t="s">
        <v>165</v>
      </c>
      <c r="BN16" s="290"/>
      <c r="BO16" s="291"/>
      <c r="BP16" s="292"/>
      <c r="BQ16" s="295"/>
      <c r="BR16" s="295"/>
      <c r="BS16" s="296"/>
      <c r="BT16" s="300"/>
      <c r="BU16" s="301"/>
      <c r="BV16" s="302"/>
      <c r="BW16" s="304"/>
      <c r="BX16" s="223" t="s">
        <v>167</v>
      </c>
      <c r="BZ16" s="270"/>
      <c r="CA16" s="272"/>
      <c r="CB16" s="262" t="s">
        <v>262</v>
      </c>
      <c r="CC16" s="263" t="s">
        <v>263</v>
      </c>
      <c r="CD16" s="219" t="s">
        <v>222</v>
      </c>
      <c r="CE16" s="215" t="s">
        <v>160</v>
      </c>
      <c r="CF16" s="216" t="s">
        <v>161</v>
      </c>
      <c r="CG16" s="217" t="e">
        <f>IF(CG17&lt;0,"decr.","incr.")</f>
        <v>#VALUE!</v>
      </c>
      <c r="CH16" s="218" t="e">
        <f>IF(CH17&gt;0,"incr.","decr.")</f>
        <v>#VALUE!</v>
      </c>
      <c r="CI16" s="212" t="s">
        <v>17</v>
      </c>
      <c r="CJ16" s="262" t="s">
        <v>262</v>
      </c>
      <c r="CK16" s="263" t="s">
        <v>263</v>
      </c>
      <c r="CL16" s="219" t="s">
        <v>222</v>
      </c>
      <c r="CM16" s="220" t="s">
        <v>164</v>
      </c>
      <c r="CN16" s="221" t="s">
        <v>165</v>
      </c>
      <c r="CO16" s="290"/>
      <c r="CP16" s="291"/>
      <c r="CQ16" s="292"/>
      <c r="CR16" s="295"/>
      <c r="CS16" s="295"/>
      <c r="CT16" s="296"/>
      <c r="CU16" s="300"/>
      <c r="CV16" s="301"/>
      <c r="CW16" s="302"/>
      <c r="CX16" s="304"/>
      <c r="CY16" s="222" t="s">
        <v>167</v>
      </c>
    </row>
    <row r="17" spans="2:104" ht="14.4" x14ac:dyDescent="0.3">
      <c r="B17" s="142" t="str">
        <f>B11</f>
        <v>Intercept</v>
      </c>
      <c r="C17" s="142" t="str">
        <f>C11</f>
        <v>AthleteID</v>
      </c>
      <c r="D17" s="143">
        <f>IFERROR(SQRT(D11),-SQRT(-D11))</f>
        <v>0.261457453517776</v>
      </c>
      <c r="E17" s="143">
        <f>IFERROR(SQRT(H11),-SQRT(-H11))</f>
        <v>0.1773696704625681</v>
      </c>
      <c r="F17" s="143">
        <f>IFERROR(SQRT(I11),-SQRT(-I11))</f>
        <v>0.52924474489596962</v>
      </c>
      <c r="G17" s="143">
        <f>D11/E11</f>
        <v>1.6318930532346625</v>
      </c>
      <c r="H17" s="143">
        <f>(100-MID($H$9,6,2))/100</f>
        <v>0.1</v>
      </c>
      <c r="L17" s="149">
        <f>$L$28/SQRT(V17)</f>
        <v>6.1073554124940577</v>
      </c>
      <c r="U17" s="160" t="str">
        <f>C17</f>
        <v>AthleteID</v>
      </c>
      <c r="V17" s="180">
        <f t="shared" ref="V17:X18" si="3">EXP(D17)</f>
        <v>1.2988216801028079</v>
      </c>
      <c r="W17" s="180">
        <f t="shared" si="3"/>
        <v>1.1940724248540968</v>
      </c>
      <c r="X17" s="180">
        <f t="shared" si="3"/>
        <v>1.6976496657433229</v>
      </c>
      <c r="Y17" s="180">
        <f>SQRT(X17/W17)</f>
        <v>1.1923635779767736</v>
      </c>
      <c r="Z17" s="143">
        <f>$V$10</f>
        <v>0.94868329805051377</v>
      </c>
      <c r="AA17" s="143">
        <f>$V$11</f>
        <v>1.0540925533894598</v>
      </c>
      <c r="AC17" s="181">
        <f>100*V17-100</f>
        <v>29.882168010280793</v>
      </c>
      <c r="AD17" s="181">
        <f t="shared" ref="AD17:AE18" si="4">100*W17-100</f>
        <v>19.407242485409682</v>
      </c>
      <c r="AE17" s="181">
        <f t="shared" si="4"/>
        <v>69.764966574332277</v>
      </c>
      <c r="AF17" s="181">
        <f>(AE17-AD17)/2</f>
        <v>25.178862044461297</v>
      </c>
      <c r="AG17" s="149">
        <f>100*Z17-100</f>
        <v>-5.1316701949486259</v>
      </c>
      <c r="AH17" s="149">
        <f>100*AA17-100</f>
        <v>5.4092553389459823</v>
      </c>
      <c r="AJ17" s="143">
        <f t="shared" ref="AJ17:AL18" si="5">D17</f>
        <v>0.261457453517776</v>
      </c>
      <c r="AK17" s="143">
        <f t="shared" si="5"/>
        <v>0.1773696704625681</v>
      </c>
      <c r="AL17" s="143">
        <f t="shared" si="5"/>
        <v>0.52924474489596962</v>
      </c>
      <c r="AM17" s="143">
        <f>LN(Z17)</f>
        <v>-5.2680257828913182E-2</v>
      </c>
      <c r="AN17" s="143">
        <f>LN(AA17)</f>
        <v>5.268025782891321E-2</v>
      </c>
      <c r="AO17" s="143"/>
      <c r="AP17" s="143">
        <f>SQRT($D$11+$D$13*100/$N$6/L17)</f>
        <v>0.58383856896343189</v>
      </c>
      <c r="AR17" s="143">
        <f>AJ17/AP17</f>
        <v>0.44782490814537484</v>
      </c>
      <c r="AS17" s="143">
        <f>AK17/AP17</f>
        <v>0.3037991662275355</v>
      </c>
      <c r="AT17" s="143">
        <f>AL17/AP17</f>
        <v>0.906491576662381</v>
      </c>
      <c r="AU17" s="143">
        <f>$AR$10</f>
        <v>-0.1</v>
      </c>
      <c r="AV17" s="143">
        <f>$AR$11</f>
        <v>0.1</v>
      </c>
      <c r="AW17" s="204" t="str">
        <f>U17</f>
        <v>AthleteID</v>
      </c>
      <c r="AY17" s="233">
        <f>V17</f>
        <v>1.2988216801028079</v>
      </c>
      <c r="AZ17" s="234">
        <v>999</v>
      </c>
      <c r="BA17" s="233">
        <f>W17</f>
        <v>1.1940724248540968</v>
      </c>
      <c r="BB17" s="233">
        <f>X17</f>
        <v>1.6976496657433229</v>
      </c>
      <c r="BC17" s="233">
        <f>SQRT(BB17/BA17)</f>
        <v>1.1923635779767736</v>
      </c>
      <c r="BD17" s="235">
        <f>100*(1-H17)</f>
        <v>90</v>
      </c>
      <c r="BE17" s="228">
        <f>100-2*$BC$7</f>
        <v>90</v>
      </c>
      <c r="BF17" s="233" t="e">
        <f>$P$5*Z17+$Q$5*AA17</f>
        <v>#VALUE!</v>
      </c>
      <c r="BG17" s="233" t="e">
        <f>$Q$5*Z17+$P$5*AA17</f>
        <v>#VALUE!</v>
      </c>
      <c r="BH17" s="229">
        <f>AY17</f>
        <v>1.2988216801028079</v>
      </c>
      <c r="BI17" s="229">
        <f>EXP(LN(AY17)-TINV((100-BE17)/100,AZ17)*BX17)</f>
        <v>1.0892832556213052</v>
      </c>
      <c r="BJ17" s="229">
        <f>EXP(LN(AY17)+TINV((100-BE17)/100,AZ17)*BX17)</f>
        <v>1.5486676656411882</v>
      </c>
      <c r="BK17" s="229">
        <f>SQRT(BJ17/BI17)</f>
        <v>1.1923635779767734</v>
      </c>
      <c r="BL17" s="243" t="s">
        <v>204</v>
      </c>
      <c r="BM17" s="243" t="e">
        <f>IF(MIN(BN17,BT17)&gt;$BC$7,"unclear",IF(MAX(BN17,BQ17,BT17)=BN17,BP17&amp;" "&amp;BF$16,IF(MAX(BN17,BQ17,BT17)=BQ17,BS17&amp;" trivial",BV17&amp;" "&amp;BG$16)))</f>
        <v>#VALUE!</v>
      </c>
      <c r="BN17" s="224" t="e">
        <f>100*IF(LN(BF17)&gt;0,IF(LN(AY17)-LN(BF17)&gt;0,1-TDIST((LN(AY17)-LN(BF17))/BX17,AZ17,1),TDIST((LN(BF17)-LN(AY17))/BX17,AZ17,1)),IF(LN(AY17)-LN(BF17)&gt;0,TDIST((LN(AY17)-LN(BF17))/BX17,AZ17,1),1-TDIST((LN(BF17)-LN(AY17))/BX17,AZ17,1)))</f>
        <v>#VALUE!</v>
      </c>
      <c r="BO17" s="225" t="s">
        <v>166</v>
      </c>
      <c r="BP17" s="226" t="e">
        <f>IF(BN17&lt;$BA$7,$AZ$7,IF(BN17&lt;$BC$7,$BB$7,IF(BN17&lt;$BE$7,$BD$7,IF(BN17&lt;$BG$7,$BF$7,IF(BN17&lt;$BI$7,$BH$7,IF(BN17&lt;$BK$7,$BJ$7,$BL$7))))))</f>
        <v>#VALUE!</v>
      </c>
      <c r="BQ17" s="227" t="e">
        <f>100-BN17-BT17</f>
        <v>#VALUE!</v>
      </c>
      <c r="BR17" s="225" t="s">
        <v>166</v>
      </c>
      <c r="BS17" s="226" t="e">
        <f>IF(BQ17&lt;$BA$7,$AZ$7,IF(BQ17&lt;$BC$7,$BB$7,IF(BQ17&lt;$BE$7,$BD$7,IF(BQ17&lt;$BG$7,$BF$7,IF(BQ17&lt;$BI$7,$BH$7,IF(BQ17&lt;$BK$7,$BJ$7,$BL$7))))))</f>
        <v>#VALUE!</v>
      </c>
      <c r="BT17" s="224" t="e">
        <f>100*IF(LN(BG17)&gt;0,IF(LN(AY17)-LN(BG17)&gt;0,1-TDIST((LN(AY17)-LN(BG17))/BX17,AZ17,1),TDIST((LN(BG17)-LN(AY17))/BX17,AZ17,1)),IF(LN(AY17)-LN(BG17)&gt;0,TDIST((LN(AY17)-LN(BG17))/BX17,AZ17,1),1-TDIST((LN(BG17)-LN(AY17))/BX17,AZ17,1)))</f>
        <v>#VALUE!</v>
      </c>
      <c r="BU17" s="225" t="s">
        <v>166</v>
      </c>
      <c r="BV17" s="226" t="e">
        <f>IF(BT17&lt;$BA$7,$AZ$7,IF(BT17&lt;$BC$7,$BB$7,IF(BT17&lt;$BE$7,$BD$7,IF(BT17&lt;$BG$7,$BF$7,IF(BT17&lt;$BI$7,$BH$7,IF(BT17&lt;$BK$7,$BJ$7,$BL$7))))))</f>
        <v>#VALUE!</v>
      </c>
      <c r="BW17" s="240"/>
      <c r="BX17" s="230">
        <f>(LN(BB17)-LN(BA17))/2/TINV(1-BD17/100,AZ17)</f>
        <v>0.10686323953352206</v>
      </c>
      <c r="BY17" s="249" t="str">
        <f>U17</f>
        <v>AthleteID</v>
      </c>
      <c r="BZ17" s="236">
        <f>AR17</f>
        <v>0.44782490814537484</v>
      </c>
      <c r="CA17" s="234">
        <v>999</v>
      </c>
      <c r="CB17" s="236">
        <f>AS17</f>
        <v>0.3037991662275355</v>
      </c>
      <c r="CC17" s="236">
        <f>AT17</f>
        <v>0.906491576662381</v>
      </c>
      <c r="CD17" s="236">
        <f>(CC17-CB17)/2</f>
        <v>0.30134620521742272</v>
      </c>
      <c r="CE17" s="234">
        <f>100*(1-H17)</f>
        <v>90</v>
      </c>
      <c r="CF17" s="228">
        <f>100-2*$BC$7</f>
        <v>90</v>
      </c>
      <c r="CG17" s="233" t="e">
        <f>$P$5*AU17+$Q$5*AV17</f>
        <v>#VALUE!</v>
      </c>
      <c r="CH17" s="233" t="e">
        <f>$Q$5*AU17+$P$5*AV17</f>
        <v>#VALUE!</v>
      </c>
      <c r="CI17" s="242">
        <f>BZ17</f>
        <v>0.44782490814537484</v>
      </c>
      <c r="CJ17" s="242">
        <f>BZ17-TINV((100-CF17)/100,CA17)*CY17</f>
        <v>0.14647870292795212</v>
      </c>
      <c r="CK17" s="242">
        <f>BZ17+TINV((100-CF17)/100,CA17)*CY17</f>
        <v>0.74917111336279762</v>
      </c>
      <c r="CL17" s="242">
        <f>(CK17-CJ17)/2</f>
        <v>0.30134620521742272</v>
      </c>
      <c r="CM17" s="243" t="s">
        <v>204</v>
      </c>
      <c r="CN17" s="243" t="e">
        <f>IF(MIN(CO17,CU17)&gt;$BC$7,"unclear",IF(MAX(CO17,CR17,CU17)=CO17,CQ17&amp;" "&amp;CG$16,IF(MAX(CO17,CR17,CU17)=CR17,CT17&amp;" trivial",CW17&amp;" "&amp;CH$16)))</f>
        <v>#VALUE!</v>
      </c>
      <c r="CO17" s="237" t="e">
        <f>100*IF(CG17&gt;0,IF(BZ17-CG17&gt;0,1-TDIST((BZ17-CG17)/CY17,CA17,1),TDIST((CG17-BZ17)/CY17,CA17,1)),IF(BZ17-CG17&gt;0,TDIST((BZ17-CG17)/CY17,CA17,1),1-TDIST((CG17-BZ17)/CY17,CA17,1)))</f>
        <v>#VALUE!</v>
      </c>
      <c r="CP17" s="238" t="s">
        <v>166</v>
      </c>
      <c r="CQ17" s="226" t="e">
        <f>IF(CO17&lt;$BA$7,$AZ$7,IF(CO17&lt;$BC$7,$BB$7,IF(CO17&lt;$BE$7,$BD$7,IF(CO17&lt;$BG$7,$BF$7,IF(CO17&lt;$BI$7,$BH$7,IF(CO17&lt;$BK$7,$BJ$7,$BL$7))))))</f>
        <v>#VALUE!</v>
      </c>
      <c r="CR17" s="239" t="e">
        <f>100-CO17-CU17</f>
        <v>#VALUE!</v>
      </c>
      <c r="CS17" s="238" t="s">
        <v>166</v>
      </c>
      <c r="CT17" s="226" t="e">
        <f>IF(CR17&lt;$BA$7,$AZ$7,IF(CR17&lt;$BC$7,$BB$7,IF(CR17&lt;$BE$7,$BD$7,IF(CR17&lt;$BG$7,$BF$7,IF(CR17&lt;$BI$7,$BH$7,IF(CR17&lt;$BK$7,$BJ$7,$BL$7))))))</f>
        <v>#VALUE!</v>
      </c>
      <c r="CU17" s="237" t="e">
        <f>100*IF(CH17&gt;0,IF(BZ17-CH17&gt;0,1-TDIST((BZ17-CH17)/CY17,CA17,1),TDIST((CH17-BZ17)/CY17,CA17,1)),IF(BZ17-CH17&gt;0,TDIST((BZ17-CH17)/CY17,CA17,1),1-TDIST((CH17-BZ17)/CY17,CA17,1)))</f>
        <v>#VALUE!</v>
      </c>
      <c r="CV17" s="238" t="s">
        <v>166</v>
      </c>
      <c r="CW17" s="226" t="e">
        <f>IF(CU17&lt;$BA$7,$AZ$7,IF(CU17&lt;$BC$7,$BB$7,IF(CU17&lt;$BE$7,$BD$7,IF(CU17&lt;$BG$7,$BF$7,IF(CU17&lt;$BI$7,$BH$7,IF(CU17&lt;$BK$7,$BJ$7,$BL$7))))))</f>
        <v>#VALUE!</v>
      </c>
      <c r="CX17" s="240"/>
      <c r="CY17" s="230">
        <f>(CC17-CB17)/2/TINV(1-CE17/100,CA17)</f>
        <v>0.18303559445079301</v>
      </c>
      <c r="CZ17" s="258" t="str">
        <f>U17</f>
        <v>AthleteID</v>
      </c>
    </row>
    <row r="18" spans="2:104" ht="14.4" x14ac:dyDescent="0.3">
      <c r="B18" s="142" t="str">
        <f>B12</f>
        <v>GameID</v>
      </c>
      <c r="C18" s="142"/>
      <c r="D18" s="143">
        <f>IFERROR(SQRT(D12),-SQRT(-D12))</f>
        <v>0.19506409203131159</v>
      </c>
      <c r="E18" s="143">
        <f>IFERROR(SQRT(H12),-SQRT(-H12))</f>
        <v>0.11273863579093017</v>
      </c>
      <c r="F18" s="143">
        <f>IFERROR(SQRT(I12),-SQRT(-I12))</f>
        <v>0.85936022714575289</v>
      </c>
      <c r="G18" s="143">
        <f>D12/E12</f>
        <v>1.000789058390321</v>
      </c>
      <c r="H18" s="143">
        <f>(100-MID($H$9,6,2))/100</f>
        <v>0.1</v>
      </c>
      <c r="L18" s="149">
        <f>$L$28/SQRT(V18)</f>
        <v>6.313502102101789</v>
      </c>
      <c r="U18" s="160" t="str">
        <f>B18</f>
        <v>GameID</v>
      </c>
      <c r="V18" s="180">
        <f t="shared" si="3"/>
        <v>1.2153888807357038</v>
      </c>
      <c r="W18" s="180">
        <f t="shared" si="3"/>
        <v>1.1193393394723785</v>
      </c>
      <c r="X18" s="180">
        <f t="shared" si="3"/>
        <v>2.3616492911724469</v>
      </c>
      <c r="Y18" s="180">
        <f>SQRT(X18/W18)</f>
        <v>1.4525357115073811</v>
      </c>
      <c r="Z18" s="143">
        <f>$V$10</f>
        <v>0.94868329805051377</v>
      </c>
      <c r="AA18" s="143">
        <f>$V$11</f>
        <v>1.0540925533894598</v>
      </c>
      <c r="AC18" s="181">
        <f>100*V18-100</f>
        <v>21.538888073570376</v>
      </c>
      <c r="AD18" s="181">
        <f t="shared" si="4"/>
        <v>11.933933947237847</v>
      </c>
      <c r="AE18" s="181">
        <f t="shared" si="4"/>
        <v>136.1649291172447</v>
      </c>
      <c r="AF18" s="181">
        <f>(AE18-AD18)/2</f>
        <v>62.115497585003425</v>
      </c>
      <c r="AG18" s="149">
        <f>100*Z18-100</f>
        <v>-5.1316701949486259</v>
      </c>
      <c r="AH18" s="149">
        <f>100*AA18-100</f>
        <v>5.4092553389459823</v>
      </c>
      <c r="AJ18" s="143">
        <f t="shared" si="5"/>
        <v>0.19506409203131159</v>
      </c>
      <c r="AK18" s="143">
        <f t="shared" si="5"/>
        <v>0.11273863579093017</v>
      </c>
      <c r="AL18" s="143">
        <f t="shared" si="5"/>
        <v>0.85936022714575289</v>
      </c>
      <c r="AM18" s="143">
        <f>LN(Z18)</f>
        <v>-5.2680257828913182E-2</v>
      </c>
      <c r="AN18" s="143">
        <f>LN(AA18)</f>
        <v>5.268025782891321E-2</v>
      </c>
      <c r="AO18" s="143"/>
      <c r="AP18" s="143">
        <f>SQRT($D$11+$D$13*100/$N$6/L18)</f>
        <v>0.57616806352166283</v>
      </c>
      <c r="AR18" s="143">
        <f>AJ18/AP18</f>
        <v>0.33855415525643334</v>
      </c>
      <c r="AS18" s="143">
        <f>AK18/AP18</f>
        <v>0.195669706338542</v>
      </c>
      <c r="AT18" s="143">
        <f>AL18/AP18</f>
        <v>1.4915096506619245</v>
      </c>
      <c r="AU18" s="143">
        <f>$AR$10</f>
        <v>-0.1</v>
      </c>
      <c r="AV18" s="143">
        <f>$AR$11</f>
        <v>0.1</v>
      </c>
      <c r="AW18" s="204" t="str">
        <f>U18</f>
        <v>GameID</v>
      </c>
      <c r="AY18" s="233">
        <f>V18</f>
        <v>1.2153888807357038</v>
      </c>
      <c r="AZ18" s="234">
        <v>999</v>
      </c>
      <c r="BA18" s="233">
        <f>W18</f>
        <v>1.1193393394723785</v>
      </c>
      <c r="BB18" s="233">
        <f>X18</f>
        <v>2.3616492911724469</v>
      </c>
      <c r="BC18" s="233">
        <f>SQRT(BB18/BA18)</f>
        <v>1.4525357115073811</v>
      </c>
      <c r="BD18" s="235">
        <f>100*(1-H18)</f>
        <v>90</v>
      </c>
      <c r="BE18" s="228">
        <f>100-2*$BC$7</f>
        <v>90</v>
      </c>
      <c r="BF18" s="233" t="e">
        <f>$P$5*Z18+$Q$5*AA18</f>
        <v>#VALUE!</v>
      </c>
      <c r="BG18" s="233" t="e">
        <f>$Q$5*Z18+$P$5*AA18</f>
        <v>#VALUE!</v>
      </c>
      <c r="BH18" s="229">
        <f>AY18</f>
        <v>1.2153888807357038</v>
      </c>
      <c r="BI18" s="229">
        <f>EXP(LN(AY18)-TINV((100-BE18)/100,AZ18)*BX18)</f>
        <v>0.83673597220850682</v>
      </c>
      <c r="BJ18" s="229">
        <f>EXP(LN(AY18)+TINV((100-BE18)/100,AZ18)*BX18)</f>
        <v>1.7653957526375952</v>
      </c>
      <c r="BK18" s="229">
        <f>SQRT(BJ18/BI18)</f>
        <v>1.4525357115073811</v>
      </c>
      <c r="BL18" s="243" t="s">
        <v>204</v>
      </c>
      <c r="BM18" s="243" t="e">
        <f>IF(MIN(BN18,BT18)&gt;$BC$7,"unclear",IF(MAX(BN18,BQ18,BT18)=BN18,BP18&amp;" "&amp;BF$16,IF(MAX(BN18,BQ18,BT18)=BQ18,BS18&amp;" trivial",BV18&amp;" "&amp;BG$16)))</f>
        <v>#VALUE!</v>
      </c>
      <c r="BN18" s="224" t="e">
        <f>100*IF(LN(BF18)&gt;0,IF(LN(AY18)-LN(BF18)&gt;0,1-TDIST((LN(AY18)-LN(BF18))/BX18,AZ18,1),TDIST((LN(BF18)-LN(AY18))/BX18,AZ18,1)),IF(LN(AY18)-LN(BF18)&gt;0,TDIST((LN(AY18)-LN(BF18))/BX18,AZ18,1),1-TDIST((LN(BF18)-LN(AY18))/BX18,AZ18,1)))</f>
        <v>#VALUE!</v>
      </c>
      <c r="BO18" s="225" t="s">
        <v>166</v>
      </c>
      <c r="BP18" s="226" t="e">
        <f>IF(BN18&lt;$BA$7,$AZ$7,IF(BN18&lt;$BC$7,$BB$7,IF(BN18&lt;$BE$7,$BD$7,IF(BN18&lt;$BG$7,$BF$7,IF(BN18&lt;$BI$7,$BH$7,IF(BN18&lt;$BK$7,$BJ$7,$BL$7))))))</f>
        <v>#VALUE!</v>
      </c>
      <c r="BQ18" s="227" t="e">
        <f>100-BN18-BT18</f>
        <v>#VALUE!</v>
      </c>
      <c r="BR18" s="225" t="s">
        <v>166</v>
      </c>
      <c r="BS18" s="226" t="e">
        <f>IF(BQ18&lt;$BA$7,$AZ$7,IF(BQ18&lt;$BC$7,$BB$7,IF(BQ18&lt;$BE$7,$BD$7,IF(BQ18&lt;$BG$7,$BF$7,IF(BQ18&lt;$BI$7,$BH$7,IF(BQ18&lt;$BK$7,$BJ$7,$BL$7))))))</f>
        <v>#VALUE!</v>
      </c>
      <c r="BT18" s="224" t="e">
        <f>100*IF(LN(BG18)&gt;0,IF(LN(AY18)-LN(BG18)&gt;0,1-TDIST((LN(AY18)-LN(BG18))/BX18,AZ18,1),TDIST((LN(BG18)-LN(AY18))/BX18,AZ18,1)),IF(LN(AY18)-LN(BG18)&gt;0,TDIST((LN(AY18)-LN(BG18))/BX18,AZ18,1),1-TDIST((LN(BG18)-LN(AY18))/BX18,AZ18,1)))</f>
        <v>#VALUE!</v>
      </c>
      <c r="BU18" s="225" t="s">
        <v>166</v>
      </c>
      <c r="BV18" s="226" t="e">
        <f>IF(BT18&lt;$BA$7,$AZ$7,IF(BT18&lt;$BC$7,$BB$7,IF(BT18&lt;$BE$7,$BD$7,IF(BT18&lt;$BG$7,$BF$7,IF(BT18&lt;$BI$7,$BH$7,IF(BT18&lt;$BK$7,$BJ$7,$BL$7))))))</f>
        <v>#VALUE!</v>
      </c>
      <c r="BW18" s="240"/>
      <c r="BX18" s="230">
        <f>(LN(BB18)-LN(BA18))/2/TINV(1-BD18/100,AZ18)</f>
        <v>0.22674638743970141</v>
      </c>
      <c r="BY18" s="249" t="str">
        <f>U18</f>
        <v>GameID</v>
      </c>
      <c r="BZ18" s="236">
        <f>AR18</f>
        <v>0.33855415525643334</v>
      </c>
      <c r="CA18" s="234">
        <v>999</v>
      </c>
      <c r="CB18" s="236">
        <f>AS18</f>
        <v>0.195669706338542</v>
      </c>
      <c r="CC18" s="236">
        <f>AT18</f>
        <v>1.4915096506619245</v>
      </c>
      <c r="CD18" s="236">
        <f>(CC18-CB18)/2</f>
        <v>0.64791997216169128</v>
      </c>
      <c r="CE18" s="234">
        <f>100*(1-H18)</f>
        <v>90</v>
      </c>
      <c r="CF18" s="228">
        <f>100-2*$BC$7</f>
        <v>90</v>
      </c>
      <c r="CG18" s="233" t="e">
        <f>$P$5*AU18+$Q$5*AV18</f>
        <v>#VALUE!</v>
      </c>
      <c r="CH18" s="233" t="e">
        <f>$Q$5*AU18+$P$5*AV18</f>
        <v>#VALUE!</v>
      </c>
      <c r="CI18" s="242">
        <f>BZ18</f>
        <v>0.33855415525643334</v>
      </c>
      <c r="CJ18" s="242">
        <f>BZ18-TINV((100-CF18)/100,CA18)*CY18</f>
        <v>-0.30936581690525794</v>
      </c>
      <c r="CK18" s="242">
        <f>BZ18+TINV((100-CF18)/100,CA18)*CY18</f>
        <v>0.98647412741812457</v>
      </c>
      <c r="CL18" s="242">
        <f>(CK18-CJ18)/2</f>
        <v>0.64791997216169128</v>
      </c>
      <c r="CM18" s="243" t="s">
        <v>204</v>
      </c>
      <c r="CN18" s="243" t="e">
        <f>IF(MIN(CO18,CU18)&gt;$BC$7,"unclear",IF(MAX(CO18,CR18,CU18)=CO18,CQ18&amp;" "&amp;CG$16,IF(MAX(CO18,CR18,CU18)=CR18,CT18&amp;" trivial",CW18&amp;" "&amp;CH$16)))</f>
        <v>#VALUE!</v>
      </c>
      <c r="CO18" s="237" t="e">
        <f>100*IF(CG18&gt;0,IF(BZ18-CG18&gt;0,1-TDIST((BZ18-CG18)/CY18,CA18,1),TDIST((CG18-BZ18)/CY18,CA18,1)),IF(BZ18-CG18&gt;0,TDIST((BZ18-CG18)/CY18,CA18,1),1-TDIST((CG18-BZ18)/CY18,CA18,1)))</f>
        <v>#VALUE!</v>
      </c>
      <c r="CP18" s="238" t="s">
        <v>166</v>
      </c>
      <c r="CQ18" s="226" t="e">
        <f>IF(CO18&lt;$BA$7,$AZ$7,IF(CO18&lt;$BC$7,$BB$7,IF(CO18&lt;$BE$7,$BD$7,IF(CO18&lt;$BG$7,$BF$7,IF(CO18&lt;$BI$7,$BH$7,IF(CO18&lt;$BK$7,$BJ$7,$BL$7))))))</f>
        <v>#VALUE!</v>
      </c>
      <c r="CR18" s="239" t="e">
        <f>100-CO18-CU18</f>
        <v>#VALUE!</v>
      </c>
      <c r="CS18" s="238" t="s">
        <v>166</v>
      </c>
      <c r="CT18" s="226" t="e">
        <f>IF(CR18&lt;$BA$7,$AZ$7,IF(CR18&lt;$BC$7,$BB$7,IF(CR18&lt;$BE$7,$BD$7,IF(CR18&lt;$BG$7,$BF$7,IF(CR18&lt;$BI$7,$BH$7,IF(CR18&lt;$BK$7,$BJ$7,$BL$7))))))</f>
        <v>#VALUE!</v>
      </c>
      <c r="CU18" s="237" t="e">
        <f>100*IF(CH18&gt;0,IF(BZ18-CH18&gt;0,1-TDIST((BZ18-CH18)/CY18,CA18,1),TDIST((CH18-BZ18)/CY18,CA18,1)),IF(BZ18-CH18&gt;0,TDIST((BZ18-CH18)/CY18,CA18,1),1-TDIST((CH18-BZ18)/CY18,CA18,1)))</f>
        <v>#VALUE!</v>
      </c>
      <c r="CV18" s="238" t="s">
        <v>166</v>
      </c>
      <c r="CW18" s="226" t="e">
        <f>IF(CU18&lt;$BA$7,$AZ$7,IF(CU18&lt;$BC$7,$BB$7,IF(CU18&lt;$BE$7,$BD$7,IF(CU18&lt;$BG$7,$BF$7,IF(CU18&lt;$BI$7,$BH$7,IF(CU18&lt;$BK$7,$BJ$7,$BL$7))))))</f>
        <v>#VALUE!</v>
      </c>
      <c r="CX18" s="240"/>
      <c r="CY18" s="230">
        <f>(CC18-CB18)/2/TINV(1-CE18/100,CA18)</f>
        <v>0.39354209612691632</v>
      </c>
      <c r="CZ18" s="258" t="str">
        <f>U18</f>
        <v>GameID</v>
      </c>
    </row>
    <row r="19" spans="2:104" ht="14.4" x14ac:dyDescent="0.3">
      <c r="B19" s="245" t="s">
        <v>250</v>
      </c>
      <c r="T19" s="157"/>
      <c r="AJ19" s="144"/>
      <c r="AK19" s="144"/>
      <c r="AL19" s="144"/>
      <c r="AM19" s="144"/>
      <c r="AN19" s="144"/>
      <c r="AO19" s="144"/>
      <c r="AP19" s="144"/>
      <c r="AR19" s="144"/>
      <c r="AS19" s="144"/>
      <c r="AT19" s="144"/>
      <c r="BH19" s="144" t="s">
        <v>221</v>
      </c>
      <c r="CI19" s="144" t="s">
        <v>219</v>
      </c>
    </row>
    <row r="20" spans="2:104" ht="14.4" x14ac:dyDescent="0.3">
      <c r="T20" s="157"/>
      <c r="AJ20" s="144"/>
      <c r="AK20" s="144"/>
      <c r="AL20" s="144"/>
      <c r="AM20" s="144"/>
      <c r="AN20" s="144"/>
      <c r="AO20" s="144"/>
      <c r="AP20" s="144"/>
      <c r="AR20" s="144"/>
      <c r="AS20" s="144"/>
      <c r="AT20" s="144"/>
      <c r="BH20" s="144" t="s">
        <v>220</v>
      </c>
      <c r="CI20" s="144" t="s">
        <v>220</v>
      </c>
    </row>
    <row r="21" spans="2:104" ht="14.4" x14ac:dyDescent="0.3">
      <c r="T21" s="157"/>
      <c r="AJ21" s="144"/>
      <c r="AK21" s="144"/>
      <c r="AL21" s="144"/>
      <c r="AM21" s="144"/>
      <c r="AN21" s="144"/>
      <c r="AO21" s="144"/>
      <c r="AP21" s="144"/>
      <c r="AR21" s="144"/>
      <c r="AS21" s="144"/>
      <c r="AT21" s="144"/>
    </row>
    <row r="22" spans="2:104" ht="14.4" x14ac:dyDescent="0.3">
      <c r="T22" s="157"/>
      <c r="AJ22" s="144"/>
      <c r="AK22" s="144"/>
      <c r="AL22" s="144"/>
      <c r="AM22" s="144"/>
      <c r="AN22" s="144"/>
      <c r="AO22" s="144"/>
      <c r="AP22" s="144"/>
      <c r="AR22" s="144"/>
      <c r="AS22" s="144"/>
      <c r="AT22" s="144"/>
    </row>
    <row r="23" spans="2:104" ht="14.4" x14ac:dyDescent="0.3">
      <c r="T23" s="157"/>
      <c r="AJ23" s="144"/>
      <c r="AK23" s="144"/>
      <c r="AL23" s="144"/>
      <c r="AM23" s="144"/>
      <c r="AN23" s="144"/>
      <c r="AO23" s="144"/>
      <c r="AP23" s="144"/>
      <c r="AR23" s="144"/>
      <c r="AS23" s="144"/>
      <c r="AT23" s="144"/>
    </row>
    <row r="24" spans="2:104" ht="14.4" customHeight="1" x14ac:dyDescent="0.3">
      <c r="L24" s="144" t="s">
        <v>248</v>
      </c>
      <c r="U24" s="145" t="s">
        <v>113</v>
      </c>
      <c r="AC24" s="145" t="s">
        <v>120</v>
      </c>
      <c r="AJ24" s="144"/>
      <c r="AK24" s="144"/>
      <c r="AL24" s="144"/>
      <c r="AM24" s="144"/>
      <c r="AN24" s="144"/>
      <c r="AO24" s="144"/>
      <c r="AQ24" s="145" t="s">
        <v>114</v>
      </c>
    </row>
    <row r="25" spans="2:104" ht="14.4" customHeight="1" x14ac:dyDescent="0.3">
      <c r="C25" s="265" t="s">
        <v>38</v>
      </c>
      <c r="D25" s="265"/>
      <c r="E25" s="265"/>
      <c r="F25" s="265"/>
      <c r="G25" s="265"/>
      <c r="H25" s="265"/>
      <c r="I25" s="265"/>
      <c r="J25" s="265"/>
      <c r="K25" s="265"/>
      <c r="L25" s="265"/>
      <c r="M25" s="265"/>
      <c r="N25" s="265"/>
      <c r="O25" s="141"/>
      <c r="T25" s="179"/>
      <c r="U25" s="179"/>
      <c r="V25" s="185" t="s">
        <v>14</v>
      </c>
      <c r="W25" s="185" t="s">
        <v>62</v>
      </c>
      <c r="X25" s="185" t="s">
        <v>15</v>
      </c>
      <c r="Y25" s="185" t="s">
        <v>110</v>
      </c>
      <c r="Z25" s="185" t="s">
        <v>111</v>
      </c>
      <c r="AC25" s="185" t="s">
        <v>14</v>
      </c>
      <c r="AD25" s="185" t="s">
        <v>62</v>
      </c>
      <c r="AE25" s="185" t="s">
        <v>15</v>
      </c>
      <c r="AF25" s="185" t="s">
        <v>110</v>
      </c>
      <c r="AG25" s="185" t="s">
        <v>111</v>
      </c>
      <c r="AJ25" s="144"/>
      <c r="AK25" s="144"/>
      <c r="AL25" s="144"/>
      <c r="AM25" s="144"/>
      <c r="AN25" s="144"/>
      <c r="AO25" s="144"/>
      <c r="AP25" s="179"/>
      <c r="AQ25" s="179"/>
      <c r="AR25" s="185" t="s">
        <v>14</v>
      </c>
      <c r="AS25" s="185" t="s">
        <v>62</v>
      </c>
      <c r="AT25" s="185" t="s">
        <v>15</v>
      </c>
      <c r="AU25" s="185" t="s">
        <v>110</v>
      </c>
      <c r="AV25" s="185" t="s">
        <v>111</v>
      </c>
    </row>
    <row r="26" spans="2:104" ht="14.4" customHeight="1" x14ac:dyDescent="0.3">
      <c r="C26" s="265" t="s">
        <v>39</v>
      </c>
      <c r="D26" s="265" t="s">
        <v>2</v>
      </c>
      <c r="E26" s="141" t="s">
        <v>3</v>
      </c>
      <c r="F26" s="265" t="s">
        <v>19</v>
      </c>
      <c r="G26" s="265" t="s">
        <v>20</v>
      </c>
      <c r="H26" s="265" t="s">
        <v>21</v>
      </c>
      <c r="I26" s="265" t="s">
        <v>22</v>
      </c>
      <c r="J26" s="265" t="s">
        <v>12</v>
      </c>
      <c r="K26" s="265" t="s">
        <v>13</v>
      </c>
      <c r="L26" s="141" t="s">
        <v>40</v>
      </c>
      <c r="M26" s="141" t="s">
        <v>40</v>
      </c>
      <c r="N26" s="141" t="s">
        <v>40</v>
      </c>
      <c r="O26" s="141"/>
      <c r="Q26" s="156" t="s">
        <v>249</v>
      </c>
      <c r="U26" s="160" t="s">
        <v>108</v>
      </c>
      <c r="V26" s="147">
        <v>0.9</v>
      </c>
      <c r="W26" s="147">
        <v>0.7</v>
      </c>
      <c r="X26" s="147">
        <v>0.5</v>
      </c>
      <c r="Y26" s="147">
        <v>0.3</v>
      </c>
      <c r="Z26" s="147">
        <v>0.1</v>
      </c>
      <c r="AC26" s="150">
        <f>100*V26-100</f>
        <v>-10</v>
      </c>
      <c r="AD26" s="150">
        <f t="shared" ref="AD26:AE27" si="6">100*W26-100</f>
        <v>-30</v>
      </c>
      <c r="AE26" s="150">
        <f t="shared" si="6"/>
        <v>-50</v>
      </c>
      <c r="AF26" s="150">
        <f>100*Y26-100</f>
        <v>-70</v>
      </c>
      <c r="AG26" s="150">
        <f>100*Z26-100</f>
        <v>-90</v>
      </c>
      <c r="AJ26" s="144"/>
      <c r="AK26" s="144"/>
      <c r="AL26" s="144"/>
      <c r="AM26" s="144"/>
      <c r="AN26" s="144"/>
      <c r="AO26" s="144"/>
      <c r="AQ26" s="160" t="s">
        <v>108</v>
      </c>
      <c r="AR26" s="143">
        <f>-AR27</f>
        <v>-0.2</v>
      </c>
      <c r="AS26" s="143">
        <f t="shared" ref="AS26:AV26" si="7">-AS27</f>
        <v>-0.6</v>
      </c>
      <c r="AT26" s="149">
        <f t="shared" si="7"/>
        <v>-1.2</v>
      </c>
      <c r="AU26" s="149">
        <f t="shared" si="7"/>
        <v>-2</v>
      </c>
      <c r="AV26" s="149">
        <f t="shared" si="7"/>
        <v>-4</v>
      </c>
    </row>
    <row r="27" spans="2:104" ht="14.4" customHeight="1" x14ac:dyDescent="0.3">
      <c r="C27" s="265"/>
      <c r="D27" s="265"/>
      <c r="E27" s="141" t="s">
        <v>4</v>
      </c>
      <c r="F27" s="265"/>
      <c r="G27" s="265"/>
      <c r="H27" s="265"/>
      <c r="I27" s="265"/>
      <c r="J27" s="265"/>
      <c r="K27" s="265"/>
      <c r="L27" s="141" t="s">
        <v>2</v>
      </c>
      <c r="M27" s="141" t="s">
        <v>12</v>
      </c>
      <c r="N27" s="141" t="s">
        <v>13</v>
      </c>
      <c r="O27" s="141"/>
      <c r="P27" s="179"/>
      <c r="Q27" s="247"/>
      <c r="R27" s="248" t="s">
        <v>2</v>
      </c>
      <c r="U27" s="160" t="s">
        <v>109</v>
      </c>
      <c r="V27" s="143">
        <f>1/V26</f>
        <v>1.1111111111111112</v>
      </c>
      <c r="W27" s="143">
        <f t="shared" ref="W27:X27" si="8">1/W26</f>
        <v>1.4285714285714286</v>
      </c>
      <c r="X27" s="149">
        <f t="shared" si="8"/>
        <v>2</v>
      </c>
      <c r="Y27" s="149">
        <f>1/Y26</f>
        <v>3.3333333333333335</v>
      </c>
      <c r="Z27" s="150">
        <f>1/Z26</f>
        <v>10</v>
      </c>
      <c r="AC27" s="150">
        <f>100*V27-100</f>
        <v>11.111111111111114</v>
      </c>
      <c r="AD27" s="150">
        <f t="shared" si="6"/>
        <v>42.857142857142861</v>
      </c>
      <c r="AE27" s="150">
        <f t="shared" si="6"/>
        <v>100</v>
      </c>
      <c r="AF27" s="150">
        <f>100*Y27-100</f>
        <v>233.33333333333337</v>
      </c>
      <c r="AG27" s="150">
        <f>100*Z27-100</f>
        <v>900</v>
      </c>
      <c r="AJ27" s="144"/>
      <c r="AK27" s="144"/>
      <c r="AL27" s="144"/>
      <c r="AM27" s="144"/>
      <c r="AN27" s="144"/>
      <c r="AO27" s="144"/>
      <c r="AQ27" s="160" t="s">
        <v>109</v>
      </c>
      <c r="AR27" s="143">
        <v>0.2</v>
      </c>
      <c r="AS27" s="143">
        <v>0.6</v>
      </c>
      <c r="AT27" s="149">
        <v>1.2</v>
      </c>
      <c r="AU27" s="149">
        <v>2</v>
      </c>
      <c r="AV27" s="149">
        <v>4</v>
      </c>
    </row>
    <row r="28" spans="2:104" x14ac:dyDescent="0.3">
      <c r="C28" s="155" t="s">
        <v>124</v>
      </c>
      <c r="D28" s="140">
        <v>1.9401999999999999</v>
      </c>
      <c r="E28" s="140">
        <v>0.12529999999999999</v>
      </c>
      <c r="F28" s="140">
        <v>65</v>
      </c>
      <c r="G28" s="140">
        <v>15.48</v>
      </c>
      <c r="H28" s="140" t="s">
        <v>11</v>
      </c>
      <c r="I28" s="140">
        <v>0.1</v>
      </c>
      <c r="J28" s="140">
        <v>1.7311000000000001</v>
      </c>
      <c r="K28" s="140">
        <v>2.1494</v>
      </c>
      <c r="L28" s="174">
        <v>6.9603000000000002</v>
      </c>
      <c r="M28" s="140">
        <v>5.6467000000000001</v>
      </c>
      <c r="N28" s="140">
        <v>8.5793999999999997</v>
      </c>
      <c r="O28" s="140"/>
      <c r="P28" s="144"/>
      <c r="Q28" s="161" t="str">
        <f>C28</f>
        <v>Mean Fwds&amp;Backs</v>
      </c>
      <c r="R28" s="256">
        <f>L28</f>
        <v>6.9603000000000002</v>
      </c>
      <c r="T28" s="157"/>
      <c r="AJ28" s="144"/>
      <c r="AK28" s="144"/>
      <c r="AL28" s="144"/>
      <c r="AM28" s="143"/>
      <c r="AN28" s="144"/>
      <c r="AO28" s="144"/>
      <c r="AP28" s="144"/>
      <c r="AR28" s="144"/>
      <c r="AS28" s="144"/>
      <c r="AT28" s="144"/>
    </row>
    <row r="29" spans="2:104" ht="15.65" customHeight="1" x14ac:dyDescent="0.3">
      <c r="C29" s="155"/>
      <c r="D29" s="140">
        <v>0</v>
      </c>
      <c r="E29" s="165" t="s">
        <v>64</v>
      </c>
      <c r="F29" s="165" t="s">
        <v>64</v>
      </c>
      <c r="G29" s="165" t="s">
        <v>64</v>
      </c>
      <c r="H29" s="165" t="s">
        <v>64</v>
      </c>
      <c r="I29" s="165" t="s">
        <v>64</v>
      </c>
      <c r="J29" s="165" t="s">
        <v>64</v>
      </c>
      <c r="K29" s="166" t="s">
        <v>64</v>
      </c>
      <c r="L29" s="165" t="s">
        <v>64</v>
      </c>
      <c r="M29" s="165" t="s">
        <v>64</v>
      </c>
      <c r="N29" s="165" t="s">
        <v>64</v>
      </c>
      <c r="O29" s="165"/>
      <c r="P29" s="161"/>
      <c r="Q29" s="178"/>
      <c r="R29" s="183"/>
      <c r="T29" s="157"/>
      <c r="V29" s="186"/>
      <c r="W29" s="186"/>
      <c r="X29" s="187" t="s">
        <v>96</v>
      </c>
      <c r="Y29" s="187"/>
      <c r="Z29" s="186"/>
      <c r="AA29" s="186"/>
      <c r="AB29" s="188"/>
      <c r="AC29" s="186"/>
      <c r="AD29" s="186"/>
      <c r="AE29" s="187" t="s">
        <v>119</v>
      </c>
      <c r="AF29" s="187"/>
      <c r="AG29" s="186"/>
      <c r="AH29" s="186"/>
      <c r="AI29" s="188"/>
      <c r="AJ29" s="186"/>
      <c r="AK29" s="186"/>
      <c r="AL29" s="186"/>
      <c r="AM29" s="187" t="s">
        <v>97</v>
      </c>
      <c r="AN29" s="186"/>
      <c r="AO29" s="186"/>
      <c r="AP29" s="186"/>
      <c r="AQ29" s="188"/>
      <c r="AR29" s="186"/>
      <c r="AS29" s="186"/>
      <c r="AT29" s="187" t="s">
        <v>194</v>
      </c>
      <c r="AU29" s="194"/>
      <c r="AV29" s="188"/>
      <c r="AY29" s="266" t="s">
        <v>210</v>
      </c>
      <c r="AZ29" s="267"/>
      <c r="BA29" s="267"/>
      <c r="BB29" s="267"/>
      <c r="BC29" s="267"/>
      <c r="BD29" s="267"/>
      <c r="BE29" s="268"/>
      <c r="BF29" s="277" t="s">
        <v>208</v>
      </c>
      <c r="BG29" s="278"/>
      <c r="BH29" s="281" t="s">
        <v>211</v>
      </c>
      <c r="BI29" s="282"/>
      <c r="BJ29" s="282"/>
      <c r="BK29" s="282"/>
      <c r="BL29" s="282"/>
      <c r="BM29" s="283"/>
      <c r="BN29" s="284" t="s">
        <v>150</v>
      </c>
      <c r="BO29" s="285"/>
      <c r="BP29" s="285"/>
      <c r="BQ29" s="285"/>
      <c r="BR29" s="285"/>
      <c r="BS29" s="285"/>
      <c r="BT29" s="285"/>
      <c r="BU29" s="285"/>
      <c r="BV29" s="286"/>
      <c r="BY29" s="163"/>
      <c r="BZ29" s="266" t="s">
        <v>169</v>
      </c>
      <c r="CA29" s="267"/>
      <c r="CB29" s="267"/>
      <c r="CC29" s="267"/>
      <c r="CD29" s="267"/>
      <c r="CE29" s="267"/>
      <c r="CF29" s="268"/>
      <c r="CG29" s="277" t="s">
        <v>208</v>
      </c>
      <c r="CH29" s="278"/>
      <c r="CI29" s="281" t="s">
        <v>180</v>
      </c>
      <c r="CJ29" s="282"/>
      <c r="CK29" s="282"/>
      <c r="CL29" s="282"/>
      <c r="CM29" s="282"/>
      <c r="CN29" s="283"/>
      <c r="CO29" s="284" t="s">
        <v>150</v>
      </c>
      <c r="CP29" s="285"/>
      <c r="CQ29" s="285"/>
      <c r="CR29" s="285"/>
      <c r="CS29" s="285"/>
      <c r="CT29" s="285"/>
      <c r="CU29" s="285"/>
      <c r="CV29" s="285"/>
      <c r="CW29" s="286"/>
    </row>
    <row r="30" spans="2:104" ht="14.4" customHeight="1" x14ac:dyDescent="0.3">
      <c r="C30" s="202" t="s">
        <v>125</v>
      </c>
      <c r="D30" s="140">
        <v>1.2565999999999999</v>
      </c>
      <c r="E30" s="140">
        <v>0.18809999999999999</v>
      </c>
      <c r="F30" s="140">
        <v>65</v>
      </c>
      <c r="G30" s="140">
        <v>6.68</v>
      </c>
      <c r="H30" s="140" t="s">
        <v>11</v>
      </c>
      <c r="I30" s="140">
        <v>0.1</v>
      </c>
      <c r="J30" s="140">
        <v>0.94269999999999998</v>
      </c>
      <c r="K30" s="140">
        <v>1.5704</v>
      </c>
      <c r="L30" s="140">
        <v>3.5133999999999999</v>
      </c>
      <c r="M30" s="140">
        <v>2.5670000000000002</v>
      </c>
      <c r="N30" s="140">
        <v>4.8087</v>
      </c>
      <c r="O30" s="140"/>
      <c r="P30" s="144"/>
      <c r="Q30" s="162" t="str">
        <f>C30</f>
        <v>Mean Backs</v>
      </c>
      <c r="R30" s="149">
        <f>L30</f>
        <v>3.5133999999999999</v>
      </c>
      <c r="T30" s="157"/>
      <c r="U30" s="161" t="str">
        <f>IF(ISBLANK(C29),"",C29)</f>
        <v/>
      </c>
      <c r="V30" s="189"/>
      <c r="W30" s="186"/>
      <c r="X30" s="190" t="s">
        <v>103</v>
      </c>
      <c r="Y30" s="190"/>
      <c r="Z30" s="186"/>
      <c r="AA30" s="186"/>
      <c r="AB30" s="188"/>
      <c r="AC30" s="189"/>
      <c r="AD30" s="186"/>
      <c r="AE30" s="190" t="s">
        <v>121</v>
      </c>
      <c r="AF30" s="190"/>
      <c r="AG30" s="186"/>
      <c r="AH30" s="186"/>
      <c r="AI30" s="188"/>
      <c r="AJ30" s="186"/>
      <c r="AK30" s="186"/>
      <c r="AL30" s="190" t="s">
        <v>102</v>
      </c>
      <c r="AM30" s="189"/>
      <c r="AN30" s="189"/>
      <c r="AO30" s="189"/>
      <c r="AP30" s="189" t="s">
        <v>75</v>
      </c>
      <c r="AQ30" s="188"/>
      <c r="AR30" s="186"/>
      <c r="AS30" s="186"/>
      <c r="AT30" s="190" t="s">
        <v>193</v>
      </c>
      <c r="AU30" s="188"/>
      <c r="AV30" s="188"/>
      <c r="AW30" s="258" t="str">
        <f>IF(ISBLANK(U30),"",U30)</f>
        <v/>
      </c>
      <c r="AY30" s="269" t="s">
        <v>175</v>
      </c>
      <c r="AZ30" s="271" t="s">
        <v>152</v>
      </c>
      <c r="BA30" s="273" t="s">
        <v>153</v>
      </c>
      <c r="BB30" s="274"/>
      <c r="BC30" s="275"/>
      <c r="BD30" s="276" t="s">
        <v>154</v>
      </c>
      <c r="BE30" s="276"/>
      <c r="BF30" s="231" t="s">
        <v>171</v>
      </c>
      <c r="BG30" s="232" t="s">
        <v>172</v>
      </c>
      <c r="BH30" s="273" t="str">
        <f>"Effect &amp; re-estimated "&amp;BE32&amp;"% confidence limits"</f>
        <v>Effect &amp; re-estimated 90% confidence limits</v>
      </c>
      <c r="BI30" s="274"/>
      <c r="BJ30" s="274"/>
      <c r="BK30" s="275"/>
      <c r="BL30" s="277" t="s">
        <v>155</v>
      </c>
      <c r="BM30" s="278"/>
      <c r="BN30" s="287" t="e">
        <f>"...beneficial or
substantially "&amp;BF31</f>
        <v>#VALUE!</v>
      </c>
      <c r="BO30" s="288"/>
      <c r="BP30" s="289"/>
      <c r="BQ30" s="293" t="s">
        <v>156</v>
      </c>
      <c r="BR30" s="293"/>
      <c r="BS30" s="294"/>
      <c r="BT30" s="297" t="e">
        <f>"...harmful or 
substantially "&amp;BG31</f>
        <v>#VALUE!</v>
      </c>
      <c r="BU30" s="298"/>
      <c r="BV30" s="299"/>
      <c r="BW30" s="303" t="s">
        <v>157</v>
      </c>
      <c r="BY30" s="259" t="str">
        <f>IF(ISBLANK(U30),"",U30)</f>
        <v/>
      </c>
      <c r="BZ30" s="269" t="s">
        <v>151</v>
      </c>
      <c r="CA30" s="271" t="s">
        <v>152</v>
      </c>
      <c r="CB30" s="273" t="s">
        <v>153</v>
      </c>
      <c r="CC30" s="274"/>
      <c r="CD30" s="275"/>
      <c r="CE30" s="276" t="s">
        <v>154</v>
      </c>
      <c r="CF30" s="276"/>
      <c r="CG30" s="231" t="s">
        <v>171</v>
      </c>
      <c r="CH30" s="232" t="s">
        <v>172</v>
      </c>
      <c r="CI30" s="273" t="str">
        <f>"Effect &amp; re-estimated "&amp;CF32&amp;"% confidence limits"</f>
        <v>Effect &amp; re-estimated 90% confidence limits</v>
      </c>
      <c r="CJ30" s="274"/>
      <c r="CK30" s="274"/>
      <c r="CL30" s="275"/>
      <c r="CM30" s="277" t="s">
        <v>155</v>
      </c>
      <c r="CN30" s="278"/>
      <c r="CO30" s="287" t="e">
        <f>"...beneficial or
substantially "&amp;CG31</f>
        <v>#VALUE!</v>
      </c>
      <c r="CP30" s="288"/>
      <c r="CQ30" s="289"/>
      <c r="CR30" s="293" t="s">
        <v>156</v>
      </c>
      <c r="CS30" s="293"/>
      <c r="CT30" s="294"/>
      <c r="CU30" s="297" t="e">
        <f>"...harmful or 
substantially "&amp;CH31</f>
        <v>#VALUE!</v>
      </c>
      <c r="CV30" s="298"/>
      <c r="CW30" s="299"/>
      <c r="CX30" s="303" t="s">
        <v>157</v>
      </c>
      <c r="CZ30" s="154" t="str">
        <f>IF(ISBLANK(U30),"",U30)</f>
        <v/>
      </c>
    </row>
    <row r="31" spans="2:104" x14ac:dyDescent="0.3">
      <c r="C31" s="202" t="s">
        <v>126</v>
      </c>
      <c r="D31" s="140">
        <v>2.6238999999999999</v>
      </c>
      <c r="E31" s="140">
        <v>0.1215</v>
      </c>
      <c r="F31" s="140">
        <v>65</v>
      </c>
      <c r="G31" s="140">
        <v>21.59</v>
      </c>
      <c r="H31" s="140" t="s">
        <v>11</v>
      </c>
      <c r="I31" s="140">
        <v>0.1</v>
      </c>
      <c r="J31" s="140">
        <v>2.4211</v>
      </c>
      <c r="K31" s="140">
        <v>2.8266</v>
      </c>
      <c r="L31" s="140">
        <v>13.7888</v>
      </c>
      <c r="M31" s="140">
        <v>11.2582</v>
      </c>
      <c r="N31" s="140">
        <v>16.888300000000001</v>
      </c>
      <c r="O31" s="140"/>
      <c r="P31" s="144"/>
      <c r="Q31" s="162" t="str">
        <f>C31</f>
        <v>Mean Fwds</v>
      </c>
      <c r="R31" s="149">
        <f>L31</f>
        <v>13.7888</v>
      </c>
      <c r="T31" s="195"/>
      <c r="U31" s="176"/>
      <c r="V31" s="191" t="s">
        <v>2</v>
      </c>
      <c r="W31" s="191" t="s">
        <v>12</v>
      </c>
      <c r="X31" s="191" t="s">
        <v>13</v>
      </c>
      <c r="Y31" s="206" t="s">
        <v>141</v>
      </c>
      <c r="Z31" s="191" t="s">
        <v>61</v>
      </c>
      <c r="AA31" s="191" t="s">
        <v>60</v>
      </c>
      <c r="AC31" s="191" t="s">
        <v>2</v>
      </c>
      <c r="AD31" s="191" t="s">
        <v>12</v>
      </c>
      <c r="AE31" s="191" t="s">
        <v>13</v>
      </c>
      <c r="AF31" s="191" t="s">
        <v>230</v>
      </c>
      <c r="AG31" s="191" t="s">
        <v>61</v>
      </c>
      <c r="AH31" s="191" t="s">
        <v>60</v>
      </c>
      <c r="AJ31" s="191" t="s">
        <v>2</v>
      </c>
      <c r="AK31" s="191" t="s">
        <v>12</v>
      </c>
      <c r="AL31" s="191" t="s">
        <v>13</v>
      </c>
      <c r="AM31" s="191" t="s">
        <v>61</v>
      </c>
      <c r="AN31" s="191" t="s">
        <v>60</v>
      </c>
      <c r="AO31" s="191"/>
      <c r="AP31" s="192" t="s">
        <v>83</v>
      </c>
      <c r="AR31" s="191" t="s">
        <v>2</v>
      </c>
      <c r="AS31" s="191" t="s">
        <v>12</v>
      </c>
      <c r="AT31" s="191" t="s">
        <v>13</v>
      </c>
      <c r="AU31" s="193" t="s">
        <v>61</v>
      </c>
      <c r="AV31" s="193" t="s">
        <v>60</v>
      </c>
      <c r="AY31" s="270"/>
      <c r="AZ31" s="272"/>
      <c r="BA31" s="213" t="s">
        <v>158</v>
      </c>
      <c r="BB31" s="214" t="s">
        <v>159</v>
      </c>
      <c r="BC31" s="219" t="s">
        <v>168</v>
      </c>
      <c r="BD31" s="215" t="s">
        <v>160</v>
      </c>
      <c r="BE31" s="216" t="s">
        <v>161</v>
      </c>
      <c r="BF31" s="217" t="e">
        <f>IF(BF32&lt;1,"decr.","incr.")</f>
        <v>#VALUE!</v>
      </c>
      <c r="BG31" s="218" t="e">
        <f>IF(BG32&gt;1,"incr.","decr.")</f>
        <v>#VALUE!</v>
      </c>
      <c r="BH31" s="212" t="s">
        <v>17</v>
      </c>
      <c r="BI31" s="216" t="s">
        <v>162</v>
      </c>
      <c r="BJ31" s="216" t="s">
        <v>163</v>
      </c>
      <c r="BK31" s="219" t="s">
        <v>168</v>
      </c>
      <c r="BL31" s="220" t="s">
        <v>164</v>
      </c>
      <c r="BM31" s="221" t="s">
        <v>165</v>
      </c>
      <c r="BN31" s="290"/>
      <c r="BO31" s="291"/>
      <c r="BP31" s="292"/>
      <c r="BQ31" s="295"/>
      <c r="BR31" s="295"/>
      <c r="BS31" s="296"/>
      <c r="BT31" s="300"/>
      <c r="BU31" s="301"/>
      <c r="BV31" s="302"/>
      <c r="BW31" s="304"/>
      <c r="BX31" s="223" t="s">
        <v>167</v>
      </c>
      <c r="BY31" s="163"/>
      <c r="BZ31" s="270"/>
      <c r="CA31" s="272"/>
      <c r="CB31" s="213" t="s">
        <v>158</v>
      </c>
      <c r="CC31" s="214" t="s">
        <v>159</v>
      </c>
      <c r="CD31" s="219" t="s">
        <v>138</v>
      </c>
      <c r="CE31" s="215" t="s">
        <v>160</v>
      </c>
      <c r="CF31" s="216" t="s">
        <v>161</v>
      </c>
      <c r="CG31" s="217" t="e">
        <f>IF(CG32&lt;0,"decr.","incr.")</f>
        <v>#VALUE!</v>
      </c>
      <c r="CH31" s="218" t="e">
        <f>IF(CH32&gt;0,"incr.","decr.")</f>
        <v>#VALUE!</v>
      </c>
      <c r="CI31" s="212" t="s">
        <v>17</v>
      </c>
      <c r="CJ31" s="216" t="s">
        <v>162</v>
      </c>
      <c r="CK31" s="216" t="s">
        <v>163</v>
      </c>
      <c r="CL31" s="219" t="s">
        <v>138</v>
      </c>
      <c r="CM31" s="220" t="s">
        <v>164</v>
      </c>
      <c r="CN31" s="221" t="s">
        <v>165</v>
      </c>
      <c r="CO31" s="290"/>
      <c r="CP31" s="291"/>
      <c r="CQ31" s="292"/>
      <c r="CR31" s="295"/>
      <c r="CS31" s="295"/>
      <c r="CT31" s="296"/>
      <c r="CU31" s="300"/>
      <c r="CV31" s="301"/>
      <c r="CW31" s="302"/>
      <c r="CX31" s="304"/>
      <c r="CY31" s="222" t="s">
        <v>167</v>
      </c>
    </row>
    <row r="32" spans="2:104" x14ac:dyDescent="0.3">
      <c r="C32" s="202" t="s">
        <v>127</v>
      </c>
      <c r="D32" s="140">
        <v>1.3673</v>
      </c>
      <c r="E32" s="140">
        <v>0.19350000000000001</v>
      </c>
      <c r="F32" s="140">
        <v>65</v>
      </c>
      <c r="G32" s="140">
        <v>7.07</v>
      </c>
      <c r="H32" s="140" t="s">
        <v>11</v>
      </c>
      <c r="I32" s="140">
        <v>0.1</v>
      </c>
      <c r="J32" s="151">
        <v>1.0444</v>
      </c>
      <c r="K32" s="140">
        <v>1.6901999999999999</v>
      </c>
      <c r="L32" s="140">
        <v>3.9245999999999999</v>
      </c>
      <c r="M32" s="140">
        <v>2.8416000000000001</v>
      </c>
      <c r="N32" s="140">
        <v>5.4203999999999999</v>
      </c>
      <c r="O32" s="140"/>
      <c r="P32" s="144"/>
      <c r="R32" s="144"/>
      <c r="U32" s="161" t="str">
        <f>C32</f>
        <v>Mean Fwds/Backs</v>
      </c>
      <c r="V32" s="180">
        <f>L32</f>
        <v>3.9245999999999999</v>
      </c>
      <c r="W32" s="180">
        <f>M32</f>
        <v>2.8416000000000001</v>
      </c>
      <c r="X32" s="180">
        <f>N32</f>
        <v>5.4203999999999999</v>
      </c>
      <c r="Y32" s="180">
        <f>SQRT(X32/W32)</f>
        <v>1.3811288469552332</v>
      </c>
      <c r="Z32" s="143">
        <f>$V$26</f>
        <v>0.9</v>
      </c>
      <c r="AA32" s="143">
        <f>$V$27</f>
        <v>1.1111111111111112</v>
      </c>
      <c r="AC32" s="181">
        <f>100*V32-100</f>
        <v>292.45999999999998</v>
      </c>
      <c r="AD32" s="181">
        <f t="shared" ref="AD32:AE32" si="9">100*W32-100</f>
        <v>184.16000000000003</v>
      </c>
      <c r="AE32" s="181">
        <f t="shared" si="9"/>
        <v>442.03999999999996</v>
      </c>
      <c r="AF32" s="181">
        <f>(AE32-AD32)/2</f>
        <v>128.93999999999997</v>
      </c>
      <c r="AG32" s="150">
        <f t="shared" ref="AG32:AH32" si="10">100*Z32-100</f>
        <v>-10</v>
      </c>
      <c r="AH32" s="150">
        <f t="shared" si="10"/>
        <v>11.111111111111114</v>
      </c>
      <c r="AJ32" s="143">
        <f>D32</f>
        <v>1.3673</v>
      </c>
      <c r="AK32" s="143">
        <f>J32</f>
        <v>1.0444</v>
      </c>
      <c r="AL32" s="143">
        <f>K32</f>
        <v>1.6901999999999999</v>
      </c>
      <c r="AM32" s="143">
        <f>LN(Z32)</f>
        <v>-0.10536051565782628</v>
      </c>
      <c r="AN32" s="143">
        <f>LN(AA32)</f>
        <v>0.10536051565782635</v>
      </c>
      <c r="AO32" s="143"/>
      <c r="AP32" s="143">
        <f>SQRT($D$11+$D$13*100/$N$6/L30)</f>
        <v>0.73624770885313051</v>
      </c>
      <c r="AQ32" s="175"/>
      <c r="AR32" s="143">
        <f>AJ32/AP32</f>
        <v>1.8571195313189819</v>
      </c>
      <c r="AS32" s="143">
        <f>AK32/AP32</f>
        <v>1.4185443125206938</v>
      </c>
      <c r="AT32" s="143">
        <f>AL32/AP32</f>
        <v>2.2956947501172698</v>
      </c>
      <c r="AU32" s="143">
        <f>$AR$26</f>
        <v>-0.2</v>
      </c>
      <c r="AV32" s="143">
        <f>$AR$27</f>
        <v>0.2</v>
      </c>
      <c r="AW32" s="204" t="str">
        <f>U32</f>
        <v>Mean Fwds/Backs</v>
      </c>
      <c r="AY32" s="233">
        <f>V32</f>
        <v>3.9245999999999999</v>
      </c>
      <c r="AZ32" s="234">
        <f>F32</f>
        <v>65</v>
      </c>
      <c r="BA32" s="233">
        <f>W32</f>
        <v>2.8416000000000001</v>
      </c>
      <c r="BB32" s="233">
        <f>X32</f>
        <v>5.4203999999999999</v>
      </c>
      <c r="BC32" s="233">
        <f>SQRT(BB32/BA32)</f>
        <v>1.3811288469552332</v>
      </c>
      <c r="BD32" s="235">
        <f>100*(1-I32)</f>
        <v>90</v>
      </c>
      <c r="BE32" s="228">
        <f>100-2*$BC$7</f>
        <v>90</v>
      </c>
      <c r="BF32" s="233" t="e">
        <f>$P$5*Z32+$Q$5*AA32</f>
        <v>#VALUE!</v>
      </c>
      <c r="BG32" s="233" t="e">
        <f>$Q$5*Z32+$P$5*AA32</f>
        <v>#VALUE!</v>
      </c>
      <c r="BH32" s="229">
        <f>AY32</f>
        <v>3.9245999999999999</v>
      </c>
      <c r="BI32" s="229">
        <f>EXP(LN(AY32)-TINV((100-BE32)/100,AZ32)*BX32)</f>
        <v>2.8415886096738725</v>
      </c>
      <c r="BJ32" s="229">
        <f>EXP(LN(AY32)+TINV((100-BE32)/100,AZ32)*BX32)</f>
        <v>5.4203782727605079</v>
      </c>
      <c r="BK32" s="229">
        <f>SQRT(BJ32/BI32)</f>
        <v>1.3811288469552332</v>
      </c>
      <c r="BL32" s="243" t="e">
        <f>IF(BN32&lt;$BE$7,IF(MAX(BQ32,BT32)=BQ32,BS32&amp;" trivial; don't use",BV32&amp;" harmful; don't use"),IF(BT32&lt;$BA$7,BP32&amp;" beneficial; use","unclear; don't use"))</f>
        <v>#VALUE!</v>
      </c>
      <c r="BM32" s="243" t="e">
        <f>IF(MIN(BN32,BT32)&gt;$BC$7,"unclear",IF(MAX(BN32,BQ32,BT32)=BN32,BP32&amp;" "&amp;BF31,IF(MAX(BN32,BQ32,BT32)=BQ32,BS32&amp;" trivial",BV32&amp;" "&amp;BG31)))</f>
        <v>#VALUE!</v>
      </c>
      <c r="BN32" s="224" t="e">
        <f>100*IF(LN(BF32)&gt;0,IF(LN(AY32)-LN(BF32)&gt;0,1-TDIST((LN(AY32)-LN(BF32))/BX32,AZ32,1),TDIST((LN(BF32)-LN(AY32))/BX32,AZ32,1)),IF(LN(AY32)-LN(BF32)&gt;0,TDIST((LN(AY32)-LN(BF32))/BX32,AZ32,1),1-TDIST((LN(BF32)-LN(AY32))/BX32,AZ32,1)))</f>
        <v>#VALUE!</v>
      </c>
      <c r="BO32" s="225" t="s">
        <v>166</v>
      </c>
      <c r="BP32" s="226" t="e">
        <f>IF(BN32&lt;$BA$7,$AZ$7,IF(BN32&lt;$BC$7,$BB$7,IF(BN32&lt;$BE$7,$BD$7,IF(BN32&lt;$BG$7,$BF$7,IF(BN32&lt;$BI$7,$BH$7,IF(BN32&lt;$BK$7,$BJ$7,$BL$7))))))</f>
        <v>#VALUE!</v>
      </c>
      <c r="BQ32" s="227" t="e">
        <f>100-BN32-BT32</f>
        <v>#VALUE!</v>
      </c>
      <c r="BR32" s="225" t="s">
        <v>166</v>
      </c>
      <c r="BS32" s="226" t="e">
        <f>IF(BQ32&lt;$BA$7,$AZ$7,IF(BQ32&lt;$BC$7,$BB$7,IF(BQ32&lt;$BE$7,$BD$7,IF(BQ32&lt;$BG$7,$BF$7,IF(BQ32&lt;$BI$7,$BH$7,IF(BQ32&lt;$BK$7,$BJ$7,$BL$7))))))</f>
        <v>#VALUE!</v>
      </c>
      <c r="BT32" s="224" t="e">
        <f>100*IF(LN(BG32)&gt;0,IF(LN(AY32)-LN(BG32)&gt;0,1-TDIST((LN(AY32)-LN(BG32))/BX32,AZ32,1),TDIST((LN(BG32)-LN(AY32))/BX32,AZ32,1)),IF(LN(AY32)-LN(BG32)&gt;0,TDIST((LN(AY32)-LN(BG32))/BX32,AZ32,1),1-TDIST((LN(BG32)-LN(AY32))/BX32,AZ32,1)))</f>
        <v>#VALUE!</v>
      </c>
      <c r="BU32" s="225" t="s">
        <v>166</v>
      </c>
      <c r="BV32" s="226" t="e">
        <f>IF(BT32&lt;$BA$7,$AZ$7,IF(BT32&lt;$BC$7,$BB$7,IF(BT32&lt;$BE$7,$BD$7,IF(BT32&lt;$BG$7,$BF$7,IF(BT32&lt;$BI$7,$BH$7,IF(BT32&lt;$BK$7,$BJ$7,$BL$7))))))</f>
        <v>#VALUE!</v>
      </c>
      <c r="BW32" s="240" t="e">
        <f>BN32/(100-BN32)/(BT32/(100-BT32))</f>
        <v>#VALUE!</v>
      </c>
      <c r="BX32" s="230">
        <f>(LN(BB32)-LN(BA32))/2/TINV(1-BD32/100,AZ32)</f>
        <v>0.1935120508601896</v>
      </c>
      <c r="BY32" s="160" t="str">
        <f t="shared" ref="BY32:BY44" si="11">U32</f>
        <v>Mean Fwds/Backs</v>
      </c>
      <c r="BZ32" s="236">
        <f>AR32</f>
        <v>1.8571195313189819</v>
      </c>
      <c r="CA32" s="234">
        <f>F32</f>
        <v>65</v>
      </c>
      <c r="CB32" s="236">
        <f>AS32</f>
        <v>1.4185443125206938</v>
      </c>
      <c r="CC32" s="236">
        <f>AT32</f>
        <v>2.2956947501172698</v>
      </c>
      <c r="CD32" s="236">
        <f>(CC32-CB32)/2</f>
        <v>0.43857521879828798</v>
      </c>
      <c r="CE32" s="234">
        <f>100*(1-I32)</f>
        <v>90</v>
      </c>
      <c r="CF32" s="228">
        <f>100-2*$BC$7</f>
        <v>90</v>
      </c>
      <c r="CG32" s="233" t="e">
        <f>$P$5*AU32+$Q$5*AV32</f>
        <v>#VALUE!</v>
      </c>
      <c r="CH32" s="233" t="e">
        <f>$Q$5*AU32+$P$5*AV32</f>
        <v>#VALUE!</v>
      </c>
      <c r="CI32" s="242">
        <f>BZ32</f>
        <v>1.8571195313189819</v>
      </c>
      <c r="CJ32" s="242">
        <f>BZ32-TINV((100-CF32)/100,CA32)*CY32</f>
        <v>1.418544312520694</v>
      </c>
      <c r="CK32" s="242">
        <f>BZ32+TINV((100-CF32)/100,CA32)*CY32</f>
        <v>2.2956947501172698</v>
      </c>
      <c r="CL32" s="242">
        <f>(CK32-CJ32)/2</f>
        <v>0.43857521879828787</v>
      </c>
      <c r="CM32" s="243" t="e">
        <f>IF(CO32&lt;$BE$7,IF(MAX(CR32,CU32)=CR32,CT32&amp;" trivial; don't use",CW32&amp;" harmful; don't use"),IF(CU32&lt;$BA$7,CQ32&amp;" beneficial; use","unclear; don't use"))</f>
        <v>#VALUE!</v>
      </c>
      <c r="CN32" s="243" t="e">
        <f>IF(MIN(CO32,CU32)&gt;$BC$7,"unclear",IF(MAX(CO32,CR32,CU32)=CO32,CQ32&amp;" "&amp;CG31,IF(MAX(CO32,CR32,CU32)=CR32,CT32&amp;" trivial",CW32&amp;" "&amp;CH31)))</f>
        <v>#VALUE!</v>
      </c>
      <c r="CO32" s="237" t="e">
        <f>100*IF(CG32&gt;0,IF(BZ32-CG32&gt;0,1-TDIST((BZ32-CG32)/CY32,CA32,1),TDIST((CG32-BZ32)/CY32,CA32,1)),IF(BZ32-CG32&gt;0,TDIST((BZ32-CG32)/CY32,CA32,1),1-TDIST((CG32-BZ32)/CY32,CA32,1)))</f>
        <v>#VALUE!</v>
      </c>
      <c r="CP32" s="238" t="s">
        <v>166</v>
      </c>
      <c r="CQ32" s="226" t="e">
        <f>IF(CO32&lt;$BA$7,$AZ$7,IF(CO32&lt;$BC$7,$BB$7,IF(CO32&lt;$BE$7,$BD$7,IF(CO32&lt;$BG$7,$BF$7,IF(CO32&lt;$BI$7,$BH$7,IF(CO32&lt;$BK$7,$BJ$7,$BL$7))))))</f>
        <v>#VALUE!</v>
      </c>
      <c r="CR32" s="239" t="e">
        <f>100-CO32-CU32</f>
        <v>#VALUE!</v>
      </c>
      <c r="CS32" s="238" t="s">
        <v>166</v>
      </c>
      <c r="CT32" s="226" t="e">
        <f>IF(CR32&lt;$BA$7,$AZ$7,IF(CR32&lt;$BC$7,$BB$7,IF(CR32&lt;$BE$7,$BD$7,IF(CR32&lt;$BG$7,$BF$7,IF(CR32&lt;$BI$7,$BH$7,IF(CR32&lt;$BK$7,$BJ$7,$BL$7))))))</f>
        <v>#VALUE!</v>
      </c>
      <c r="CU32" s="237" t="e">
        <f>100*IF(CH32&gt;0,IF(BZ32-CH32&gt;0,1-TDIST((BZ32-CH32)/CY32,CA32,1),TDIST((CH32-BZ32)/CY32,CA32,1)),IF(BZ32-CH32&gt;0,TDIST((BZ32-CH32)/CY32,CA32,1),1-TDIST((CH32-BZ32)/CY32,CA32,1)))</f>
        <v>#VALUE!</v>
      </c>
      <c r="CV32" s="238" t="s">
        <v>166</v>
      </c>
      <c r="CW32" s="226" t="e">
        <f>IF(CU32&lt;$BA$7,$AZ$7,IF(CU32&lt;$BC$7,$BB$7,IF(CU32&lt;$BE$7,$BD$7,IF(CU32&lt;$BG$7,$BF$7,IF(CU32&lt;$BI$7,$BH$7,IF(CU32&lt;$BK$7,$BJ$7,$BL$7))))))</f>
        <v>#VALUE!</v>
      </c>
      <c r="CX32" s="240" t="e">
        <f>CO32/(100-CO32)/(CU32/(100-CU32))</f>
        <v>#VALUE!</v>
      </c>
      <c r="CY32" s="230">
        <f>(CC32-CB32)/2/TINV(1-CE32/100,CA32)</f>
        <v>0.26283456976020286</v>
      </c>
      <c r="CZ32" s="258" t="str">
        <f t="shared" ref="CZ32" si="12">U32</f>
        <v>Mean Fwds/Backs</v>
      </c>
    </row>
    <row r="33" spans="3:104" ht="15.65" customHeight="1" x14ac:dyDescent="0.3">
      <c r="C33" s="202"/>
      <c r="D33" s="140">
        <v>0</v>
      </c>
      <c r="E33" s="165" t="s">
        <v>64</v>
      </c>
      <c r="F33" s="165" t="s">
        <v>64</v>
      </c>
      <c r="G33" s="165" t="s">
        <v>64</v>
      </c>
      <c r="H33" s="165" t="s">
        <v>64</v>
      </c>
      <c r="I33" s="165" t="s">
        <v>64</v>
      </c>
      <c r="J33" s="165" t="s">
        <v>64</v>
      </c>
      <c r="K33" s="166" t="s">
        <v>64</v>
      </c>
      <c r="L33" s="165" t="s">
        <v>64</v>
      </c>
      <c r="M33" s="165" t="s">
        <v>64</v>
      </c>
      <c r="N33" s="165" t="s">
        <v>64</v>
      </c>
      <c r="O33" s="165"/>
      <c r="P33" s="161"/>
      <c r="Q33" s="178"/>
      <c r="R33" s="183"/>
      <c r="U33" s="184"/>
      <c r="X33" s="168"/>
      <c r="Y33" s="168"/>
      <c r="Z33" s="144"/>
      <c r="AA33" s="144"/>
      <c r="AC33" s="197"/>
      <c r="AD33" s="197"/>
      <c r="AE33" s="198"/>
      <c r="AF33" s="198"/>
      <c r="AG33" s="199"/>
      <c r="AH33" s="199"/>
      <c r="AJ33" s="144"/>
      <c r="AK33" s="144"/>
      <c r="AL33" s="146"/>
      <c r="AM33" s="144"/>
      <c r="AN33" s="144"/>
      <c r="AO33" s="144"/>
      <c r="AP33" s="147"/>
      <c r="AR33" s="144"/>
      <c r="AS33" s="144"/>
      <c r="AT33" s="144"/>
      <c r="AU33" s="148"/>
      <c r="AV33" s="144"/>
      <c r="AY33" s="266" t="s">
        <v>210</v>
      </c>
      <c r="AZ33" s="267"/>
      <c r="BA33" s="267"/>
      <c r="BB33" s="267"/>
      <c r="BC33" s="267"/>
      <c r="BD33" s="267"/>
      <c r="BE33" s="268"/>
      <c r="BF33" s="277" t="s">
        <v>208</v>
      </c>
      <c r="BG33" s="278"/>
      <c r="BH33" s="281" t="s">
        <v>211</v>
      </c>
      <c r="BI33" s="282"/>
      <c r="BJ33" s="282"/>
      <c r="BK33" s="282"/>
      <c r="BL33" s="282"/>
      <c r="BM33" s="283"/>
      <c r="BN33" s="284" t="s">
        <v>150</v>
      </c>
      <c r="BO33" s="285"/>
      <c r="BP33" s="285"/>
      <c r="BQ33" s="285"/>
      <c r="BR33" s="285"/>
      <c r="BS33" s="285"/>
      <c r="BT33" s="285"/>
      <c r="BU33" s="285"/>
      <c r="BV33" s="286"/>
      <c r="BY33" s="163"/>
      <c r="BZ33" s="266" t="s">
        <v>169</v>
      </c>
      <c r="CA33" s="267"/>
      <c r="CB33" s="267"/>
      <c r="CC33" s="267"/>
      <c r="CD33" s="267"/>
      <c r="CE33" s="267"/>
      <c r="CF33" s="268"/>
      <c r="CG33" s="277" t="s">
        <v>208</v>
      </c>
      <c r="CH33" s="278"/>
      <c r="CI33" s="281" t="s">
        <v>180</v>
      </c>
      <c r="CJ33" s="282"/>
      <c r="CK33" s="282"/>
      <c r="CL33" s="282"/>
      <c r="CM33" s="282"/>
      <c r="CN33" s="283"/>
      <c r="CO33" s="284" t="s">
        <v>150</v>
      </c>
      <c r="CP33" s="285"/>
      <c r="CQ33" s="285"/>
      <c r="CR33" s="285"/>
      <c r="CS33" s="285"/>
      <c r="CT33" s="285"/>
      <c r="CU33" s="285"/>
      <c r="CV33" s="285"/>
      <c r="CW33" s="286"/>
    </row>
    <row r="34" spans="3:104" x14ac:dyDescent="0.3">
      <c r="C34" s="202" t="s">
        <v>41</v>
      </c>
      <c r="D34" s="140">
        <v>1.8907</v>
      </c>
      <c r="E34" s="140">
        <v>0.18779999999999999</v>
      </c>
      <c r="F34" s="140">
        <v>65</v>
      </c>
      <c r="G34" s="140">
        <v>10.07</v>
      </c>
      <c r="H34" s="140" t="s">
        <v>11</v>
      </c>
      <c r="I34" s="140">
        <v>0.1</v>
      </c>
      <c r="J34" s="140">
        <v>1.5773999999999999</v>
      </c>
      <c r="K34" s="140">
        <v>2.2040000000000002</v>
      </c>
      <c r="L34" s="140">
        <v>6.6238999999999999</v>
      </c>
      <c r="M34" s="140">
        <v>4.8422999999999998</v>
      </c>
      <c r="N34" s="140">
        <v>9.0609999999999999</v>
      </c>
      <c r="O34" s="140"/>
      <c r="P34" s="144"/>
      <c r="Q34" s="162" t="str">
        <f>C34</f>
        <v>Mean @ Week 1</v>
      </c>
      <c r="R34" s="149">
        <f t="shared" ref="R34:R35" si="13">L34</f>
        <v>6.6238999999999999</v>
      </c>
      <c r="U34" s="161" t="str">
        <f>IF(ISBLANK(C33),"",C33)</f>
        <v/>
      </c>
      <c r="V34" s="153"/>
      <c r="X34" s="147" t="s">
        <v>103</v>
      </c>
      <c r="Y34" s="147"/>
      <c r="Z34" s="144"/>
      <c r="AA34" s="144"/>
      <c r="AC34" s="200"/>
      <c r="AD34" s="197"/>
      <c r="AE34" s="150" t="s">
        <v>121</v>
      </c>
      <c r="AF34" s="150"/>
      <c r="AG34" s="199"/>
      <c r="AH34" s="199"/>
      <c r="AJ34" s="144"/>
      <c r="AK34" s="144"/>
      <c r="AL34" s="147" t="s">
        <v>102</v>
      </c>
      <c r="AM34" s="143"/>
      <c r="AN34" s="143"/>
      <c r="AO34" s="143"/>
      <c r="AP34" s="143" t="s">
        <v>75</v>
      </c>
      <c r="AR34" s="144"/>
      <c r="AS34" s="144"/>
      <c r="AT34" s="190" t="s">
        <v>193</v>
      </c>
      <c r="AU34" s="144"/>
      <c r="AV34" s="144"/>
      <c r="AW34" s="258" t="str">
        <f t="shared" ref="AW34" si="14">IF(ISBLANK(U34),"",U34)</f>
        <v/>
      </c>
      <c r="AY34" s="269" t="s">
        <v>175</v>
      </c>
      <c r="AZ34" s="271" t="s">
        <v>152</v>
      </c>
      <c r="BA34" s="273" t="s">
        <v>153</v>
      </c>
      <c r="BB34" s="274"/>
      <c r="BC34" s="275"/>
      <c r="BD34" s="276" t="s">
        <v>154</v>
      </c>
      <c r="BE34" s="276"/>
      <c r="BF34" s="231" t="s">
        <v>171</v>
      </c>
      <c r="BG34" s="232" t="s">
        <v>172</v>
      </c>
      <c r="BH34" s="273" t="str">
        <f>"Effect &amp; re-estimated "&amp;BE36&amp;"% confidence limits"</f>
        <v>Effect &amp; re-estimated 90% confidence limits</v>
      </c>
      <c r="BI34" s="274"/>
      <c r="BJ34" s="274"/>
      <c r="BK34" s="275"/>
      <c r="BL34" s="277" t="s">
        <v>155</v>
      </c>
      <c r="BM34" s="278"/>
      <c r="BN34" s="287" t="e">
        <f>"...beneficial or
substantially "&amp;BF35</f>
        <v>#VALUE!</v>
      </c>
      <c r="BO34" s="288"/>
      <c r="BP34" s="289"/>
      <c r="BQ34" s="293" t="s">
        <v>156</v>
      </c>
      <c r="BR34" s="293"/>
      <c r="BS34" s="294"/>
      <c r="BT34" s="297" t="e">
        <f>"...harmful or 
substantially "&amp;BG35</f>
        <v>#VALUE!</v>
      </c>
      <c r="BU34" s="298"/>
      <c r="BV34" s="299"/>
      <c r="BW34" s="303" t="s">
        <v>157</v>
      </c>
      <c r="BY34" s="259" t="str">
        <f t="shared" ref="BY34" si="15">IF(ISBLANK(U34),"",U34)</f>
        <v/>
      </c>
      <c r="BZ34" s="269" t="s">
        <v>151</v>
      </c>
      <c r="CA34" s="271" t="s">
        <v>152</v>
      </c>
      <c r="CB34" s="273" t="s">
        <v>153</v>
      </c>
      <c r="CC34" s="274"/>
      <c r="CD34" s="275"/>
      <c r="CE34" s="276" t="s">
        <v>154</v>
      </c>
      <c r="CF34" s="276"/>
      <c r="CG34" s="231" t="s">
        <v>171</v>
      </c>
      <c r="CH34" s="232" t="s">
        <v>172</v>
      </c>
      <c r="CI34" s="273" t="str">
        <f>"Effect &amp; re-estimated "&amp;CF36&amp;"% confidence limits"</f>
        <v>Effect &amp; re-estimated 90% confidence limits</v>
      </c>
      <c r="CJ34" s="274"/>
      <c r="CK34" s="274"/>
      <c r="CL34" s="275"/>
      <c r="CM34" s="277" t="s">
        <v>155</v>
      </c>
      <c r="CN34" s="278"/>
      <c r="CO34" s="287" t="e">
        <f>"...beneficial or
substantially "&amp;CG35</f>
        <v>#VALUE!</v>
      </c>
      <c r="CP34" s="288"/>
      <c r="CQ34" s="289"/>
      <c r="CR34" s="293" t="s">
        <v>156</v>
      </c>
      <c r="CS34" s="293"/>
      <c r="CT34" s="294"/>
      <c r="CU34" s="297" t="e">
        <f>"...harmful or 
substantially "&amp;CH35</f>
        <v>#VALUE!</v>
      </c>
      <c r="CV34" s="298"/>
      <c r="CW34" s="299"/>
      <c r="CX34" s="303" t="s">
        <v>157</v>
      </c>
      <c r="CZ34" s="154" t="str">
        <f t="shared" ref="CZ34" si="16">IF(ISBLANK(C33),"",C33)</f>
        <v/>
      </c>
    </row>
    <row r="35" spans="3:104" x14ac:dyDescent="0.3">
      <c r="C35" s="202" t="s">
        <v>42</v>
      </c>
      <c r="D35" s="140">
        <v>1.9898</v>
      </c>
      <c r="E35" s="140">
        <v>0.1867</v>
      </c>
      <c r="F35" s="140">
        <v>65</v>
      </c>
      <c r="G35" s="140">
        <v>10.66</v>
      </c>
      <c r="H35" s="140" t="s">
        <v>11</v>
      </c>
      <c r="I35" s="140">
        <v>0.1</v>
      </c>
      <c r="J35" s="140">
        <v>1.6781999999999999</v>
      </c>
      <c r="K35" s="140">
        <v>2.3012999999999999</v>
      </c>
      <c r="L35" s="140">
        <v>7.3136999999999999</v>
      </c>
      <c r="M35" s="140">
        <v>5.3560999999999996</v>
      </c>
      <c r="N35" s="140">
        <v>9.9869000000000003</v>
      </c>
      <c r="O35" s="140"/>
      <c r="P35" s="144"/>
      <c r="Q35" s="162" t="str">
        <f>C35</f>
        <v>Mean @ Week 6</v>
      </c>
      <c r="R35" s="149">
        <f t="shared" si="13"/>
        <v>7.3136999999999999</v>
      </c>
      <c r="T35" s="176"/>
      <c r="U35" s="196"/>
      <c r="V35" s="191" t="s">
        <v>2</v>
      </c>
      <c r="W35" s="191" t="s">
        <v>12</v>
      </c>
      <c r="X35" s="191" t="s">
        <v>13</v>
      </c>
      <c r="Y35" s="206" t="s">
        <v>141</v>
      </c>
      <c r="Z35" s="191" t="s">
        <v>61</v>
      </c>
      <c r="AA35" s="191" t="s">
        <v>60</v>
      </c>
      <c r="AC35" s="201" t="s">
        <v>2</v>
      </c>
      <c r="AD35" s="201" t="s">
        <v>12</v>
      </c>
      <c r="AE35" s="201" t="s">
        <v>13</v>
      </c>
      <c r="AF35" s="191" t="s">
        <v>230</v>
      </c>
      <c r="AG35" s="201" t="s">
        <v>61</v>
      </c>
      <c r="AH35" s="201" t="s">
        <v>60</v>
      </c>
      <c r="AJ35" s="191" t="s">
        <v>2</v>
      </c>
      <c r="AK35" s="191" t="s">
        <v>12</v>
      </c>
      <c r="AL35" s="191" t="s">
        <v>13</v>
      </c>
      <c r="AM35" s="191" t="s">
        <v>61</v>
      </c>
      <c r="AN35" s="191" t="s">
        <v>60</v>
      </c>
      <c r="AO35" s="191"/>
      <c r="AP35" s="192" t="s">
        <v>83</v>
      </c>
      <c r="AR35" s="191" t="s">
        <v>2</v>
      </c>
      <c r="AS35" s="191" t="s">
        <v>12</v>
      </c>
      <c r="AT35" s="191" t="s">
        <v>13</v>
      </c>
      <c r="AU35" s="193" t="s">
        <v>61</v>
      </c>
      <c r="AV35" s="193" t="s">
        <v>60</v>
      </c>
      <c r="AY35" s="270"/>
      <c r="AZ35" s="272"/>
      <c r="BA35" s="213" t="s">
        <v>158</v>
      </c>
      <c r="BB35" s="214" t="s">
        <v>159</v>
      </c>
      <c r="BC35" s="219" t="s">
        <v>168</v>
      </c>
      <c r="BD35" s="215" t="s">
        <v>160</v>
      </c>
      <c r="BE35" s="216" t="s">
        <v>161</v>
      </c>
      <c r="BF35" s="217" t="e">
        <f>IF(BF36&lt;1,"decr.","incr.")</f>
        <v>#VALUE!</v>
      </c>
      <c r="BG35" s="218" t="e">
        <f>IF(BG36&gt;1,"incr.","decr.")</f>
        <v>#VALUE!</v>
      </c>
      <c r="BH35" s="212" t="s">
        <v>17</v>
      </c>
      <c r="BI35" s="216" t="s">
        <v>162</v>
      </c>
      <c r="BJ35" s="216" t="s">
        <v>163</v>
      </c>
      <c r="BK35" s="219" t="s">
        <v>168</v>
      </c>
      <c r="BL35" s="220" t="s">
        <v>164</v>
      </c>
      <c r="BM35" s="221" t="s">
        <v>165</v>
      </c>
      <c r="BN35" s="290"/>
      <c r="BO35" s="291"/>
      <c r="BP35" s="292"/>
      <c r="BQ35" s="295"/>
      <c r="BR35" s="295"/>
      <c r="BS35" s="296"/>
      <c r="BT35" s="300"/>
      <c r="BU35" s="301"/>
      <c r="BV35" s="302"/>
      <c r="BW35" s="304"/>
      <c r="BX35" s="223" t="s">
        <v>167</v>
      </c>
      <c r="BY35" s="163"/>
      <c r="BZ35" s="270"/>
      <c r="CA35" s="272"/>
      <c r="CB35" s="213" t="s">
        <v>158</v>
      </c>
      <c r="CC35" s="214" t="s">
        <v>159</v>
      </c>
      <c r="CD35" s="219" t="s">
        <v>138</v>
      </c>
      <c r="CE35" s="215" t="s">
        <v>160</v>
      </c>
      <c r="CF35" s="216" t="s">
        <v>161</v>
      </c>
      <c r="CG35" s="217" t="e">
        <f>IF(CG36&lt;0,"decr.","incr.")</f>
        <v>#VALUE!</v>
      </c>
      <c r="CH35" s="218" t="e">
        <f>IF(CH36&gt;0,"incr.","decr.")</f>
        <v>#VALUE!</v>
      </c>
      <c r="CI35" s="212" t="s">
        <v>17</v>
      </c>
      <c r="CJ35" s="216" t="s">
        <v>162</v>
      </c>
      <c r="CK35" s="216" t="s">
        <v>163</v>
      </c>
      <c r="CL35" s="219" t="s">
        <v>138</v>
      </c>
      <c r="CM35" s="220" t="s">
        <v>164</v>
      </c>
      <c r="CN35" s="221" t="s">
        <v>165</v>
      </c>
      <c r="CO35" s="290"/>
      <c r="CP35" s="291"/>
      <c r="CQ35" s="292"/>
      <c r="CR35" s="295"/>
      <c r="CS35" s="295"/>
      <c r="CT35" s="296"/>
      <c r="CU35" s="300"/>
      <c r="CV35" s="301"/>
      <c r="CW35" s="302"/>
      <c r="CX35" s="304"/>
      <c r="CY35" s="222" t="s">
        <v>167</v>
      </c>
    </row>
    <row r="36" spans="3:104" x14ac:dyDescent="0.3">
      <c r="C36" s="202" t="s">
        <v>80</v>
      </c>
      <c r="D36" s="151">
        <v>9.9070000000000005E-2</v>
      </c>
      <c r="E36" s="140">
        <v>0.2782</v>
      </c>
      <c r="F36" s="140">
        <v>65</v>
      </c>
      <c r="G36" s="151">
        <v>0.36</v>
      </c>
      <c r="H36" s="140">
        <v>0.72289999999999999</v>
      </c>
      <c r="I36" s="140">
        <v>0.1</v>
      </c>
      <c r="J36" s="151">
        <v>-0.36509999999999998</v>
      </c>
      <c r="K36" s="140">
        <v>0.56320000000000003</v>
      </c>
      <c r="L36" s="140">
        <v>1.1041000000000001</v>
      </c>
      <c r="M36" s="140">
        <v>0.69410000000000005</v>
      </c>
      <c r="N36" s="140">
        <v>1.7563</v>
      </c>
      <c r="O36" s="140"/>
      <c r="U36" s="161" t="str">
        <f>C36</f>
        <v>Week 6/Week 1</v>
      </c>
      <c r="V36" s="180">
        <f>L36</f>
        <v>1.1041000000000001</v>
      </c>
      <c r="W36" s="180">
        <f>M36</f>
        <v>0.69410000000000005</v>
      </c>
      <c r="X36" s="180">
        <f>N36</f>
        <v>1.7563</v>
      </c>
      <c r="Y36" s="180">
        <f>SQRT(X36/W36)</f>
        <v>1.5907001735754407</v>
      </c>
      <c r="Z36" s="143">
        <f>$V$26</f>
        <v>0.9</v>
      </c>
      <c r="AA36" s="143">
        <f>$V$27</f>
        <v>1.1111111111111112</v>
      </c>
      <c r="AC36" s="181">
        <f>100*V36-100</f>
        <v>10.410000000000011</v>
      </c>
      <c r="AD36" s="181">
        <f t="shared" ref="AD36" si="17">100*W36-100</f>
        <v>-30.589999999999989</v>
      </c>
      <c r="AE36" s="181">
        <f t="shared" ref="AE36" si="18">100*X36-100</f>
        <v>75.63</v>
      </c>
      <c r="AF36" s="181">
        <f>(AE36-AD36)/2</f>
        <v>53.109999999999992</v>
      </c>
      <c r="AG36" s="150">
        <f t="shared" ref="AG36" si="19">100*Z36-100</f>
        <v>-10</v>
      </c>
      <c r="AH36" s="150">
        <f t="shared" ref="AH36" si="20">100*AA36-100</f>
        <v>11.111111111111114</v>
      </c>
      <c r="AJ36" s="143">
        <f>D36</f>
        <v>9.9070000000000005E-2</v>
      </c>
      <c r="AK36" s="143">
        <f>J36</f>
        <v>-0.36509999999999998</v>
      </c>
      <c r="AL36" s="143">
        <f>K36</f>
        <v>0.56320000000000003</v>
      </c>
      <c r="AM36" s="143">
        <f>LN(Z36)</f>
        <v>-0.10536051565782628</v>
      </c>
      <c r="AN36" s="143">
        <f>LN(AA36)</f>
        <v>0.10536051565782635</v>
      </c>
      <c r="AO36" s="143"/>
      <c r="AP36" s="143">
        <f>SQRT($D$11+$D$13*100/$N$6/L34)</f>
        <v>0.56534663035334243</v>
      </c>
      <c r="AQ36" s="175"/>
      <c r="AR36" s="143">
        <f>AJ36/AP36</f>
        <v>0.17523762357632011</v>
      </c>
      <c r="AS36" s="143">
        <f>AK36/AP36</f>
        <v>-0.64579848963071018</v>
      </c>
      <c r="AT36" s="143">
        <f>AL36/AP36</f>
        <v>0.99620298373052873</v>
      </c>
      <c r="AU36" s="143">
        <f>$AR$26</f>
        <v>-0.2</v>
      </c>
      <c r="AV36" s="143">
        <f>$AR$27</f>
        <v>0.2</v>
      </c>
      <c r="AW36" s="204" t="str">
        <f t="shared" ref="AW36" si="21">U36</f>
        <v>Week 6/Week 1</v>
      </c>
      <c r="AY36" s="233">
        <f>V36</f>
        <v>1.1041000000000001</v>
      </c>
      <c r="AZ36" s="234">
        <f>F36</f>
        <v>65</v>
      </c>
      <c r="BA36" s="233">
        <f>W36</f>
        <v>0.69410000000000005</v>
      </c>
      <c r="BB36" s="233">
        <f>X36</f>
        <v>1.7563</v>
      </c>
      <c r="BC36" s="233">
        <f>SQRT(BB36/BA36)</f>
        <v>1.5907001735754407</v>
      </c>
      <c r="BD36" s="235">
        <f>100*(1-I36)</f>
        <v>90</v>
      </c>
      <c r="BE36" s="228">
        <f>100-2*$BC$7</f>
        <v>90</v>
      </c>
      <c r="BF36" s="233" t="e">
        <f>$P$5*Z36+$Q$5*AA36</f>
        <v>#VALUE!</v>
      </c>
      <c r="BG36" s="233" t="e">
        <f>$Q$5*Z36+$P$5*AA36</f>
        <v>#VALUE!</v>
      </c>
      <c r="BH36" s="229">
        <f>AY36</f>
        <v>1.1041000000000001</v>
      </c>
      <c r="BI36" s="229">
        <f>EXP(LN(AY36)-TINV((100-BE36)/100,AZ36)*BX36)</f>
        <v>0.69409686271567939</v>
      </c>
      <c r="BJ36" s="229">
        <f>EXP(LN(AY36)+TINV((100-BE36)/100,AZ36)*BX36)</f>
        <v>1.7562920616446442</v>
      </c>
      <c r="BK36" s="229">
        <f>SQRT(BJ36/BI36)</f>
        <v>1.5907001735754407</v>
      </c>
      <c r="BL36" s="243" t="e">
        <f>IF(BN36&lt;$BE$7,IF(MAX(BQ36,BT36)=BQ36,BS36&amp;" trivial; don't use",BV36&amp;" harmful; don't use"),IF(BT36&lt;$BA$7,BP36&amp;" beneficial; use","unclear; don't use"))</f>
        <v>#VALUE!</v>
      </c>
      <c r="BM36" s="243" t="e">
        <f>IF(MIN(BN36,BT36)&gt;$BC$7,"unclear",IF(MAX(BN36,BQ36,BT36)=BN36,BP36&amp;" "&amp;BF35,IF(MAX(BN36,BQ36,BT36)=BQ36,BS36&amp;" trivial",BV36&amp;" "&amp;BG35)))</f>
        <v>#VALUE!</v>
      </c>
      <c r="BN36" s="224" t="e">
        <f>100*IF(LN(BF36)&gt;0,IF(LN(AY36)-LN(BF36)&gt;0,1-TDIST((LN(AY36)-LN(BF36))/BX36,AZ36,1),TDIST((LN(BF36)-LN(AY36))/BX36,AZ36,1)),IF(LN(AY36)-LN(BF36)&gt;0,TDIST((LN(AY36)-LN(BF36))/BX36,AZ36,1),1-TDIST((LN(BF36)-LN(AY36))/BX36,AZ36,1)))</f>
        <v>#VALUE!</v>
      </c>
      <c r="BO36" s="225" t="s">
        <v>166</v>
      </c>
      <c r="BP36" s="226" t="e">
        <f>IF(BN36&lt;$BA$7,$AZ$7,IF(BN36&lt;$BC$7,$BB$7,IF(BN36&lt;$BE$7,$BD$7,IF(BN36&lt;$BG$7,$BF$7,IF(BN36&lt;$BI$7,$BH$7,IF(BN36&lt;$BK$7,$BJ$7,$BL$7))))))</f>
        <v>#VALUE!</v>
      </c>
      <c r="BQ36" s="227" t="e">
        <f>100-BN36-BT36</f>
        <v>#VALUE!</v>
      </c>
      <c r="BR36" s="225" t="s">
        <v>166</v>
      </c>
      <c r="BS36" s="226" t="e">
        <f>IF(BQ36&lt;$BA$7,$AZ$7,IF(BQ36&lt;$BC$7,$BB$7,IF(BQ36&lt;$BE$7,$BD$7,IF(BQ36&lt;$BG$7,$BF$7,IF(BQ36&lt;$BI$7,$BH$7,IF(BQ36&lt;$BK$7,$BJ$7,$BL$7))))))</f>
        <v>#VALUE!</v>
      </c>
      <c r="BT36" s="224" t="e">
        <f>100*IF(LN(BG36)&gt;0,IF(LN(AY36)-LN(BG36)&gt;0,1-TDIST((LN(AY36)-LN(BG36))/BX36,AZ36,1),TDIST((LN(BG36)-LN(AY36))/BX36,AZ36,1)),IF(LN(AY36)-LN(BG36)&gt;0,TDIST((LN(AY36)-LN(BG36))/BX36,AZ36,1),1-TDIST((LN(BG36)-LN(AY36))/BX36,AZ36,1)))</f>
        <v>#VALUE!</v>
      </c>
      <c r="BU36" s="225" t="s">
        <v>166</v>
      </c>
      <c r="BV36" s="226" t="e">
        <f>IF(BT36&lt;$BA$7,$AZ$7,IF(BT36&lt;$BC$7,$BB$7,IF(BT36&lt;$BE$7,$BD$7,IF(BT36&lt;$BG$7,$BF$7,IF(BT36&lt;$BI$7,$BH$7,IF(BT36&lt;$BK$7,$BJ$7,$BL$7))))))</f>
        <v>#VALUE!</v>
      </c>
      <c r="BW36" s="240" t="e">
        <f>BN36/(100-BN36)/(BT36/(100-BT36))</f>
        <v>#VALUE!</v>
      </c>
      <c r="BX36" s="230">
        <f>(LN(BB36)-LN(BA36))/2/TINV(1-BD36/100,AZ36)</f>
        <v>0.27817587943667998</v>
      </c>
      <c r="BY36" s="160" t="str">
        <f t="shared" si="11"/>
        <v>Week 6/Week 1</v>
      </c>
      <c r="BZ36" s="236">
        <f>AR36</f>
        <v>0.17523762357632011</v>
      </c>
      <c r="CA36" s="234">
        <f>F36</f>
        <v>65</v>
      </c>
      <c r="CB36" s="236">
        <f>AS36</f>
        <v>-0.64579848963071018</v>
      </c>
      <c r="CC36" s="236">
        <f>AT36</f>
        <v>0.99620298373052873</v>
      </c>
      <c r="CD36" s="236">
        <f>(CC36-CB36)/2</f>
        <v>0.82100073668061946</v>
      </c>
      <c r="CE36" s="234">
        <f>100*(1-I36)</f>
        <v>90</v>
      </c>
      <c r="CF36" s="228">
        <f>100-2*$BC$7</f>
        <v>90</v>
      </c>
      <c r="CG36" s="233" t="e">
        <f>$P$5*AU36+$Q$5*AV36</f>
        <v>#VALUE!</v>
      </c>
      <c r="CH36" s="233" t="e">
        <f>$Q$5*AU36+$P$5*AV36</f>
        <v>#VALUE!</v>
      </c>
      <c r="CI36" s="242">
        <f>BZ36</f>
        <v>0.17523762357632011</v>
      </c>
      <c r="CJ36" s="242">
        <f>BZ36-TINV((100-CF36)/100,CA36)*CY36</f>
        <v>-0.64576311310429935</v>
      </c>
      <c r="CK36" s="242">
        <f>BZ36+TINV((100-CF36)/100,CA36)*CY36</f>
        <v>0.99623836025693957</v>
      </c>
      <c r="CL36" s="242">
        <f>(CK36-CJ36)/2</f>
        <v>0.82100073668061946</v>
      </c>
      <c r="CM36" s="243" t="e">
        <f>IF(CO36&lt;$BE$7,IF(MAX(CR36,CU36)=CR36,CT36&amp;" trivial; don't use",CW36&amp;" harmful; don't use"),IF(CU36&lt;$BA$7,CQ36&amp;" beneficial; use","unclear; don't use"))</f>
        <v>#VALUE!</v>
      </c>
      <c r="CN36" s="243" t="e">
        <f>IF(MIN(CO36,CU36)&gt;$BC$7,"unclear",IF(MAX(CO36,CR36,CU36)=CO36,CQ36&amp;" "&amp;CG35,IF(MAX(CO36,CR36,CU36)=CR36,CT36&amp;" trivial",CW36&amp;" "&amp;CH35)))</f>
        <v>#VALUE!</v>
      </c>
      <c r="CO36" s="237" t="e">
        <f>100*IF(CG36&gt;0,IF(BZ36-CG36&gt;0,1-TDIST((BZ36-CG36)/CY36,CA36,1),TDIST((CG36-BZ36)/CY36,CA36,1)),IF(BZ36-CG36&gt;0,TDIST((BZ36-CG36)/CY36,CA36,1),1-TDIST((CG36-BZ36)/CY36,CA36,1)))</f>
        <v>#VALUE!</v>
      </c>
      <c r="CP36" s="238" t="s">
        <v>166</v>
      </c>
      <c r="CQ36" s="226" t="e">
        <f>IF(CO36&lt;$BA$7,$AZ$7,IF(CO36&lt;$BC$7,$BB$7,IF(CO36&lt;$BE$7,$BD$7,IF(CO36&lt;$BG$7,$BF$7,IF(CO36&lt;$BI$7,$BH$7,IF(CO36&lt;$BK$7,$BJ$7,$BL$7))))))</f>
        <v>#VALUE!</v>
      </c>
      <c r="CR36" s="239" t="e">
        <f>100-CO36-CU36</f>
        <v>#VALUE!</v>
      </c>
      <c r="CS36" s="238" t="s">
        <v>166</v>
      </c>
      <c r="CT36" s="226" t="e">
        <f>IF(CR36&lt;$BA$7,$AZ$7,IF(CR36&lt;$BC$7,$BB$7,IF(CR36&lt;$BE$7,$BD$7,IF(CR36&lt;$BG$7,$BF$7,IF(CR36&lt;$BI$7,$BH$7,IF(CR36&lt;$BK$7,$BJ$7,$BL$7))))))</f>
        <v>#VALUE!</v>
      </c>
      <c r="CU36" s="237" t="e">
        <f>100*IF(CH36&gt;0,IF(BZ36-CH36&gt;0,1-TDIST((BZ36-CH36)/CY36,CA36,1),TDIST((CH36-BZ36)/CY36,CA36,1)),IF(BZ36-CH36&gt;0,TDIST((BZ36-CH36)/CY36,CA36,1),1-TDIST((CH36-BZ36)/CY36,CA36,1)))</f>
        <v>#VALUE!</v>
      </c>
      <c r="CV36" s="238" t="s">
        <v>166</v>
      </c>
      <c r="CW36" s="226" t="e">
        <f>IF(CU36&lt;$BA$7,$AZ$7,IF(CU36&lt;$BC$7,$BB$7,IF(CU36&lt;$BE$7,$BD$7,IF(CU36&lt;$BG$7,$BF$7,IF(CU36&lt;$BI$7,$BH$7,IF(CU36&lt;$BK$7,$BJ$7,$BL$7))))))</f>
        <v>#VALUE!</v>
      </c>
      <c r="CX36" s="240" t="e">
        <f>CO36/(100-CO36)/(CU36/(100-CU36))</f>
        <v>#VALUE!</v>
      </c>
      <c r="CY36" s="230">
        <f>(CC36-CB36)/2/TINV(1-CE36/100,CA36)</f>
        <v>0.49201907939423811</v>
      </c>
      <c r="CZ36" s="258" t="str">
        <f>U36</f>
        <v>Week 6/Week 1</v>
      </c>
    </row>
    <row r="37" spans="3:104" ht="15.65" customHeight="1" x14ac:dyDescent="0.3">
      <c r="C37" s="202" t="s">
        <v>128</v>
      </c>
      <c r="D37" s="151">
        <v>0</v>
      </c>
      <c r="E37" s="140" t="s">
        <v>64</v>
      </c>
      <c r="F37" s="140" t="s">
        <v>64</v>
      </c>
      <c r="G37" s="151" t="s">
        <v>64</v>
      </c>
      <c r="H37" s="140" t="s">
        <v>64</v>
      </c>
      <c r="I37" s="140" t="s">
        <v>64</v>
      </c>
      <c r="J37" s="151" t="s">
        <v>64</v>
      </c>
      <c r="K37" s="140" t="s">
        <v>64</v>
      </c>
      <c r="L37" s="140" t="s">
        <v>64</v>
      </c>
      <c r="M37" s="140" t="s">
        <v>64</v>
      </c>
      <c r="N37" s="140" t="s">
        <v>64</v>
      </c>
      <c r="O37" s="165"/>
      <c r="P37" s="161"/>
      <c r="Q37" s="178"/>
      <c r="R37" s="183"/>
      <c r="U37" s="184"/>
      <c r="X37" s="168"/>
      <c r="Y37" s="168"/>
      <c r="Z37" s="144"/>
      <c r="AA37" s="144"/>
      <c r="AC37" s="197"/>
      <c r="AD37" s="197"/>
      <c r="AE37" s="198"/>
      <c r="AF37" s="198"/>
      <c r="AG37" s="199"/>
      <c r="AH37" s="199"/>
      <c r="AJ37" s="144"/>
      <c r="AK37" s="144"/>
      <c r="AL37" s="146"/>
      <c r="AM37" s="144"/>
      <c r="AN37" s="144"/>
      <c r="AO37" s="144"/>
      <c r="AP37" s="147"/>
      <c r="AR37" s="144"/>
      <c r="AS37" s="144"/>
      <c r="AT37" s="144"/>
      <c r="AU37" s="148"/>
      <c r="AV37" s="144"/>
      <c r="AY37" s="266" t="s">
        <v>210</v>
      </c>
      <c r="AZ37" s="267"/>
      <c r="BA37" s="267"/>
      <c r="BB37" s="267"/>
      <c r="BC37" s="267"/>
      <c r="BD37" s="267"/>
      <c r="BE37" s="268"/>
      <c r="BF37" s="277" t="s">
        <v>208</v>
      </c>
      <c r="BG37" s="278"/>
      <c r="BH37" s="281" t="s">
        <v>211</v>
      </c>
      <c r="BI37" s="282"/>
      <c r="BJ37" s="282"/>
      <c r="BK37" s="282"/>
      <c r="BL37" s="282"/>
      <c r="BM37" s="283"/>
      <c r="BN37" s="284" t="s">
        <v>150</v>
      </c>
      <c r="BO37" s="285"/>
      <c r="BP37" s="285"/>
      <c r="BQ37" s="285"/>
      <c r="BR37" s="285"/>
      <c r="BS37" s="285"/>
      <c r="BT37" s="285"/>
      <c r="BU37" s="285"/>
      <c r="BV37" s="286"/>
      <c r="BY37" s="163"/>
      <c r="BZ37" s="266" t="s">
        <v>169</v>
      </c>
      <c r="CA37" s="267"/>
      <c r="CB37" s="267"/>
      <c r="CC37" s="267"/>
      <c r="CD37" s="267"/>
      <c r="CE37" s="267"/>
      <c r="CF37" s="268"/>
      <c r="CG37" s="277" t="s">
        <v>208</v>
      </c>
      <c r="CH37" s="278"/>
      <c r="CI37" s="281" t="s">
        <v>180</v>
      </c>
      <c r="CJ37" s="282"/>
      <c r="CK37" s="282"/>
      <c r="CL37" s="282"/>
      <c r="CM37" s="282"/>
      <c r="CN37" s="283"/>
      <c r="CO37" s="284" t="s">
        <v>150</v>
      </c>
      <c r="CP37" s="285"/>
      <c r="CQ37" s="285"/>
      <c r="CR37" s="285"/>
      <c r="CS37" s="285"/>
      <c r="CT37" s="285"/>
      <c r="CU37" s="285"/>
      <c r="CV37" s="285"/>
      <c r="CW37" s="286"/>
    </row>
    <row r="38" spans="3:104" x14ac:dyDescent="0.3">
      <c r="C38" s="202" t="s">
        <v>43</v>
      </c>
      <c r="D38" s="151">
        <v>0.87619999999999998</v>
      </c>
      <c r="E38" s="140">
        <v>0.2868</v>
      </c>
      <c r="F38" s="140">
        <v>65</v>
      </c>
      <c r="G38" s="151">
        <v>3.05</v>
      </c>
      <c r="H38" s="140">
        <v>3.3E-3</v>
      </c>
      <c r="I38" s="140">
        <v>0.1</v>
      </c>
      <c r="J38" s="151">
        <v>0.39760000000000001</v>
      </c>
      <c r="K38" s="140">
        <v>1.3549</v>
      </c>
      <c r="L38" s="140">
        <v>2.4018000000000002</v>
      </c>
      <c r="M38" s="140">
        <v>1.4882</v>
      </c>
      <c r="N38" s="140">
        <v>3.8761999999999999</v>
      </c>
      <c r="O38" s="140"/>
      <c r="P38" s="144"/>
      <c r="Q38" s="162" t="str">
        <f>C38</f>
        <v>Mean @ -1SD MTPf</v>
      </c>
      <c r="R38" s="149">
        <f t="shared" ref="R38:R39" si="22">L38</f>
        <v>2.4018000000000002</v>
      </c>
      <c r="U38" s="161" t="str">
        <f>IF(ISBLANK(C37),"",C37)</f>
        <v>Backs:</v>
      </c>
      <c r="V38" s="153"/>
      <c r="X38" s="147" t="s">
        <v>103</v>
      </c>
      <c r="Y38" s="147"/>
      <c r="Z38" s="144"/>
      <c r="AA38" s="144"/>
      <c r="AC38" s="200"/>
      <c r="AD38" s="197"/>
      <c r="AE38" s="150" t="s">
        <v>121</v>
      </c>
      <c r="AF38" s="150"/>
      <c r="AG38" s="199"/>
      <c r="AH38" s="199"/>
      <c r="AJ38" s="144"/>
      <c r="AK38" s="144"/>
      <c r="AL38" s="147" t="s">
        <v>102</v>
      </c>
      <c r="AM38" s="143"/>
      <c r="AN38" s="143"/>
      <c r="AO38" s="143"/>
      <c r="AP38" s="143" t="s">
        <v>75</v>
      </c>
      <c r="AR38" s="144"/>
      <c r="AS38" s="144"/>
      <c r="AT38" s="190" t="s">
        <v>193</v>
      </c>
      <c r="AU38" s="144"/>
      <c r="AV38" s="144"/>
      <c r="AW38" s="258" t="str">
        <f t="shared" ref="AW38" si="23">IF(ISBLANK(U38),"",U38)</f>
        <v>Backs:</v>
      </c>
      <c r="AY38" s="269" t="s">
        <v>175</v>
      </c>
      <c r="AZ38" s="271" t="s">
        <v>152</v>
      </c>
      <c r="BA38" s="273" t="s">
        <v>153</v>
      </c>
      <c r="BB38" s="274"/>
      <c r="BC38" s="275"/>
      <c r="BD38" s="276" t="s">
        <v>154</v>
      </c>
      <c r="BE38" s="276"/>
      <c r="BF38" s="231" t="s">
        <v>171</v>
      </c>
      <c r="BG38" s="232" t="s">
        <v>172</v>
      </c>
      <c r="BH38" s="273" t="str">
        <f>"Effect &amp; re-estimated "&amp;BE40&amp;"% confidence limits"</f>
        <v>Effect &amp; re-estimated 90% confidence limits</v>
      </c>
      <c r="BI38" s="274"/>
      <c r="BJ38" s="274"/>
      <c r="BK38" s="275"/>
      <c r="BL38" s="277" t="s">
        <v>155</v>
      </c>
      <c r="BM38" s="278"/>
      <c r="BN38" s="287" t="e">
        <f>"...beneficial or
substantially "&amp;BF39</f>
        <v>#VALUE!</v>
      </c>
      <c r="BO38" s="288"/>
      <c r="BP38" s="289"/>
      <c r="BQ38" s="293" t="s">
        <v>156</v>
      </c>
      <c r="BR38" s="293"/>
      <c r="BS38" s="294"/>
      <c r="BT38" s="297" t="e">
        <f>"...harmful or 
substantially "&amp;BG39</f>
        <v>#VALUE!</v>
      </c>
      <c r="BU38" s="298"/>
      <c r="BV38" s="299"/>
      <c r="BW38" s="303" t="s">
        <v>157</v>
      </c>
      <c r="BY38" s="259" t="str">
        <f t="shared" ref="BY38" si="24">IF(ISBLANK(U38),"",U38)</f>
        <v>Backs:</v>
      </c>
      <c r="BZ38" s="269" t="s">
        <v>151</v>
      </c>
      <c r="CA38" s="271" t="s">
        <v>152</v>
      </c>
      <c r="CB38" s="273" t="s">
        <v>153</v>
      </c>
      <c r="CC38" s="274"/>
      <c r="CD38" s="275"/>
      <c r="CE38" s="276" t="s">
        <v>154</v>
      </c>
      <c r="CF38" s="276"/>
      <c r="CG38" s="231" t="s">
        <v>171</v>
      </c>
      <c r="CH38" s="232" t="s">
        <v>172</v>
      </c>
      <c r="CI38" s="273" t="str">
        <f>"Effect &amp; re-estimated "&amp;CF40&amp;"% confidence limits"</f>
        <v>Effect &amp; re-estimated 90% confidence limits</v>
      </c>
      <c r="CJ38" s="274"/>
      <c r="CK38" s="274"/>
      <c r="CL38" s="275"/>
      <c r="CM38" s="277" t="s">
        <v>155</v>
      </c>
      <c r="CN38" s="278"/>
      <c r="CO38" s="287" t="e">
        <f>"...beneficial or
substantially "&amp;CG39</f>
        <v>#VALUE!</v>
      </c>
      <c r="CP38" s="288"/>
      <c r="CQ38" s="289"/>
      <c r="CR38" s="293" t="s">
        <v>156</v>
      </c>
      <c r="CS38" s="293"/>
      <c r="CT38" s="294"/>
      <c r="CU38" s="297" t="e">
        <f>"...harmful or 
substantially "&amp;CH39</f>
        <v>#VALUE!</v>
      </c>
      <c r="CV38" s="298"/>
      <c r="CW38" s="299"/>
      <c r="CX38" s="303" t="s">
        <v>157</v>
      </c>
      <c r="CZ38" s="154" t="str">
        <f t="shared" ref="CZ38" si="25">IF(ISBLANK(C37),"",C37)</f>
        <v>Backs:</v>
      </c>
    </row>
    <row r="39" spans="3:104" x14ac:dyDescent="0.3">
      <c r="C39" s="203" t="s">
        <v>44</v>
      </c>
      <c r="D39" s="139">
        <v>1.637</v>
      </c>
      <c r="E39" s="139">
        <v>0.22090000000000001</v>
      </c>
      <c r="F39" s="139">
        <v>65</v>
      </c>
      <c r="G39" s="139">
        <v>7.41</v>
      </c>
      <c r="H39" s="139" t="s">
        <v>11</v>
      </c>
      <c r="I39" s="139">
        <v>0.1</v>
      </c>
      <c r="J39" s="139">
        <v>1.2683</v>
      </c>
      <c r="K39" s="139">
        <v>2.0055999999999998</v>
      </c>
      <c r="L39" s="139">
        <v>5.1395</v>
      </c>
      <c r="M39" s="139">
        <v>3.5547</v>
      </c>
      <c r="N39" s="139">
        <v>7.4306999999999999</v>
      </c>
      <c r="O39" s="140"/>
      <c r="P39" s="144"/>
      <c r="Q39" s="162" t="str">
        <f>C39</f>
        <v>Mean @ +1SD MTPf</v>
      </c>
      <c r="R39" s="149">
        <f t="shared" si="22"/>
        <v>5.1395</v>
      </c>
      <c r="T39" s="176"/>
      <c r="U39" s="196"/>
      <c r="V39" s="191" t="s">
        <v>2</v>
      </c>
      <c r="W39" s="191" t="s">
        <v>12</v>
      </c>
      <c r="X39" s="191" t="s">
        <v>13</v>
      </c>
      <c r="Y39" s="206" t="s">
        <v>141</v>
      </c>
      <c r="Z39" s="191" t="s">
        <v>61</v>
      </c>
      <c r="AA39" s="191" t="s">
        <v>60</v>
      </c>
      <c r="AC39" s="201" t="s">
        <v>2</v>
      </c>
      <c r="AD39" s="201" t="s">
        <v>12</v>
      </c>
      <c r="AE39" s="201" t="s">
        <v>13</v>
      </c>
      <c r="AF39" s="191" t="s">
        <v>230</v>
      </c>
      <c r="AG39" s="201" t="s">
        <v>61</v>
      </c>
      <c r="AH39" s="201" t="s">
        <v>60</v>
      </c>
      <c r="AJ39" s="191" t="s">
        <v>2</v>
      </c>
      <c r="AK39" s="191" t="s">
        <v>12</v>
      </c>
      <c r="AL39" s="191" t="s">
        <v>13</v>
      </c>
      <c r="AM39" s="191" t="s">
        <v>61</v>
      </c>
      <c r="AN39" s="191" t="s">
        <v>60</v>
      </c>
      <c r="AO39" s="191"/>
      <c r="AP39" s="192" t="s">
        <v>83</v>
      </c>
      <c r="AR39" s="191" t="s">
        <v>2</v>
      </c>
      <c r="AS39" s="191" t="s">
        <v>12</v>
      </c>
      <c r="AT39" s="191" t="s">
        <v>13</v>
      </c>
      <c r="AU39" s="193" t="s">
        <v>61</v>
      </c>
      <c r="AV39" s="193" t="s">
        <v>60</v>
      </c>
      <c r="AY39" s="270"/>
      <c r="AZ39" s="272"/>
      <c r="BA39" s="213" t="s">
        <v>158</v>
      </c>
      <c r="BB39" s="214" t="s">
        <v>159</v>
      </c>
      <c r="BC39" s="219" t="s">
        <v>168</v>
      </c>
      <c r="BD39" s="215" t="s">
        <v>160</v>
      </c>
      <c r="BE39" s="216" t="s">
        <v>161</v>
      </c>
      <c r="BF39" s="217" t="e">
        <f>IF(BF40&lt;1,"decr.","incr.")</f>
        <v>#VALUE!</v>
      </c>
      <c r="BG39" s="218" t="e">
        <f>IF(BG40&gt;1,"incr.","decr.")</f>
        <v>#VALUE!</v>
      </c>
      <c r="BH39" s="212" t="s">
        <v>17</v>
      </c>
      <c r="BI39" s="216" t="s">
        <v>162</v>
      </c>
      <c r="BJ39" s="216" t="s">
        <v>163</v>
      </c>
      <c r="BK39" s="219" t="s">
        <v>168</v>
      </c>
      <c r="BL39" s="220" t="s">
        <v>164</v>
      </c>
      <c r="BM39" s="221" t="s">
        <v>165</v>
      </c>
      <c r="BN39" s="290"/>
      <c r="BO39" s="291"/>
      <c r="BP39" s="292"/>
      <c r="BQ39" s="295"/>
      <c r="BR39" s="295"/>
      <c r="BS39" s="296"/>
      <c r="BT39" s="300"/>
      <c r="BU39" s="301"/>
      <c r="BV39" s="302"/>
      <c r="BW39" s="304"/>
      <c r="BX39" s="223" t="s">
        <v>167</v>
      </c>
      <c r="BY39" s="163"/>
      <c r="BZ39" s="270"/>
      <c r="CA39" s="272"/>
      <c r="CB39" s="213" t="s">
        <v>158</v>
      </c>
      <c r="CC39" s="214" t="s">
        <v>159</v>
      </c>
      <c r="CD39" s="219" t="s">
        <v>138</v>
      </c>
      <c r="CE39" s="215" t="s">
        <v>160</v>
      </c>
      <c r="CF39" s="216" t="s">
        <v>161</v>
      </c>
      <c r="CG39" s="217" t="e">
        <f t="shared" ref="CG39" si="26">IF(CG40&lt;0,"decr.","incr.")</f>
        <v>#VALUE!</v>
      </c>
      <c r="CH39" s="218" t="e">
        <f t="shared" ref="CH39" si="27">IF(CH40&gt;0,"incr.","decr.")</f>
        <v>#VALUE!</v>
      </c>
      <c r="CI39" s="212" t="s">
        <v>17</v>
      </c>
      <c r="CJ39" s="216" t="s">
        <v>162</v>
      </c>
      <c r="CK39" s="216" t="s">
        <v>163</v>
      </c>
      <c r="CL39" s="219" t="s">
        <v>138</v>
      </c>
      <c r="CM39" s="220" t="s">
        <v>164</v>
      </c>
      <c r="CN39" s="221" t="s">
        <v>165</v>
      </c>
      <c r="CO39" s="290"/>
      <c r="CP39" s="291"/>
      <c r="CQ39" s="292"/>
      <c r="CR39" s="295"/>
      <c r="CS39" s="295"/>
      <c r="CT39" s="296"/>
      <c r="CU39" s="300"/>
      <c r="CV39" s="301"/>
      <c r="CW39" s="302"/>
      <c r="CX39" s="304"/>
      <c r="CY39" s="222" t="s">
        <v>167</v>
      </c>
    </row>
    <row r="40" spans="3:104" x14ac:dyDescent="0.3">
      <c r="C40" s="203" t="s">
        <v>81</v>
      </c>
      <c r="D40" s="139">
        <v>0.76070000000000004</v>
      </c>
      <c r="E40" s="139">
        <v>0.34739999999999999</v>
      </c>
      <c r="F40" s="139">
        <v>65</v>
      </c>
      <c r="G40" s="139">
        <v>2.19</v>
      </c>
      <c r="H40" s="139">
        <v>3.2099999999999997E-2</v>
      </c>
      <c r="I40" s="139">
        <v>0.1</v>
      </c>
      <c r="J40" s="139">
        <v>0.18110000000000001</v>
      </c>
      <c r="K40" s="139">
        <v>1.3404</v>
      </c>
      <c r="L40" s="139">
        <v>2.1398000000000001</v>
      </c>
      <c r="M40" s="139">
        <v>1.1984999999999999</v>
      </c>
      <c r="N40" s="139">
        <v>3.8206000000000002</v>
      </c>
      <c r="O40" s="140"/>
      <c r="U40" s="161" t="str">
        <f>C40</f>
        <v>MTPf +1SD/-1SD</v>
      </c>
      <c r="V40" s="180">
        <f>L40</f>
        <v>2.1398000000000001</v>
      </c>
      <c r="W40" s="180">
        <f>M40</f>
        <v>1.1984999999999999</v>
      </c>
      <c r="X40" s="180">
        <f>N40</f>
        <v>3.8206000000000002</v>
      </c>
      <c r="Y40" s="180">
        <f>SQRT(X40/W40)</f>
        <v>1.7854461924028378</v>
      </c>
      <c r="Z40" s="143">
        <f>$V$26</f>
        <v>0.9</v>
      </c>
      <c r="AA40" s="143">
        <f>$V$27</f>
        <v>1.1111111111111112</v>
      </c>
      <c r="AC40" s="181">
        <f>100*V40-100</f>
        <v>113.98000000000002</v>
      </c>
      <c r="AD40" s="181">
        <f t="shared" ref="AD40" si="28">100*W40-100</f>
        <v>19.849999999999994</v>
      </c>
      <c r="AE40" s="181">
        <f t="shared" ref="AE40" si="29">100*X40-100</f>
        <v>282.06</v>
      </c>
      <c r="AF40" s="181">
        <f>(AE40-AD40)/2</f>
        <v>131.10500000000002</v>
      </c>
      <c r="AG40" s="150">
        <f t="shared" ref="AG40" si="30">100*Z40-100</f>
        <v>-10</v>
      </c>
      <c r="AH40" s="150">
        <f t="shared" ref="AH40" si="31">100*AA40-100</f>
        <v>11.111111111111114</v>
      </c>
      <c r="AJ40" s="143">
        <f>D40</f>
        <v>0.76070000000000004</v>
      </c>
      <c r="AK40" s="143">
        <f>J40</f>
        <v>0.18110000000000001</v>
      </c>
      <c r="AL40" s="143">
        <f>K40</f>
        <v>1.3404</v>
      </c>
      <c r="AM40" s="143">
        <f>LN(Z40)</f>
        <v>-0.10536051565782628</v>
      </c>
      <c r="AN40" s="143">
        <f>LN(AA40)</f>
        <v>0.10536051565782635</v>
      </c>
      <c r="AO40" s="143"/>
      <c r="AP40" s="143">
        <f>SQRT($D$11+$D$13*100/$N$6/L38)</f>
        <v>0.87252428582894592</v>
      </c>
      <c r="AQ40" s="175"/>
      <c r="AR40" s="143">
        <f>AJ40/AP40</f>
        <v>0.87183819677556973</v>
      </c>
      <c r="AS40" s="143">
        <f>AK40/AP40</f>
        <v>0.20755869256744536</v>
      </c>
      <c r="AT40" s="143">
        <f>AL40/AP40</f>
        <v>1.5362323109740683</v>
      </c>
      <c r="AU40" s="143">
        <f>$AR$26</f>
        <v>-0.2</v>
      </c>
      <c r="AV40" s="143">
        <f>$AR$27</f>
        <v>0.2</v>
      </c>
      <c r="AW40" s="204" t="str">
        <f t="shared" ref="AW40" si="32">U40</f>
        <v>MTPf +1SD/-1SD</v>
      </c>
      <c r="AY40" s="233">
        <f>V40</f>
        <v>2.1398000000000001</v>
      </c>
      <c r="AZ40" s="234">
        <f>F40</f>
        <v>65</v>
      </c>
      <c r="BA40" s="233">
        <f>W40</f>
        <v>1.1984999999999999</v>
      </c>
      <c r="BB40" s="233">
        <f>X40</f>
        <v>3.8206000000000002</v>
      </c>
      <c r="BC40" s="233">
        <f>SQRT(BB40/BA40)</f>
        <v>1.7854461924028378</v>
      </c>
      <c r="BD40" s="235">
        <f>100*(1-I40)</f>
        <v>90</v>
      </c>
      <c r="BE40" s="228">
        <f>100-2*$BC$7</f>
        <v>90</v>
      </c>
      <c r="BF40" s="233" t="e">
        <f>$P$5*Z40+$Q$5*AA40</f>
        <v>#VALUE!</v>
      </c>
      <c r="BG40" s="233" t="e">
        <f>$Q$5*Z40+$P$5*AA40</f>
        <v>#VALUE!</v>
      </c>
      <c r="BH40" s="229">
        <f>AY40</f>
        <v>2.1398000000000001</v>
      </c>
      <c r="BI40" s="229">
        <f>EXP(LN(AY40)-TINV((100-BE40)/100,AZ40)*BX40)</f>
        <v>1.1984679286919737</v>
      </c>
      <c r="BJ40" s="229">
        <f>EXP(LN(AY40)+TINV((100-BE40)/100,AZ40)*BX40)</f>
        <v>3.8204977625035923</v>
      </c>
      <c r="BK40" s="229">
        <f>SQRT(BJ40/BI40)</f>
        <v>1.7854461924028378</v>
      </c>
      <c r="BL40" s="243" t="e">
        <f>IF(BN40&lt;$BE$7,IF(MAX(BQ40,BT40)=BQ40,BS40&amp;" trivial; don't use",BV40&amp;" harmful; don't use"),IF(BT40&lt;$BA$7,BP40&amp;" beneficial; use","unclear; don't use"))</f>
        <v>#VALUE!</v>
      </c>
      <c r="BM40" s="243" t="e">
        <f>IF(MIN(BN40,BT40)&gt;$BC$7,"unclear",IF(MAX(BN40,BQ40,BT40)=BN40,BP40&amp;" "&amp;BF39,IF(MAX(BN40,BQ40,BT40)=BQ40,BS40&amp;" trivial",BV40&amp;" "&amp;BG39)))</f>
        <v>#VALUE!</v>
      </c>
      <c r="BN40" s="224" t="e">
        <f>100*IF(LN(BF40)&gt;0,IF(LN(AY40)-LN(BF40)&gt;0,1-TDIST((LN(AY40)-LN(BF40))/BX40,AZ40,1),TDIST((LN(BF40)-LN(AY40))/BX40,AZ40,1)),IF(LN(AY40)-LN(BF40)&gt;0,TDIST((LN(AY40)-LN(BF40))/BX40,AZ40,1),1-TDIST((LN(BF40)-LN(AY40))/BX40,AZ40,1)))</f>
        <v>#VALUE!</v>
      </c>
      <c r="BO40" s="225" t="s">
        <v>166</v>
      </c>
      <c r="BP40" s="226" t="e">
        <f>IF(BN40&lt;$BA$7,$AZ$7,IF(BN40&lt;$BC$7,$BB$7,IF(BN40&lt;$BE$7,$BD$7,IF(BN40&lt;$BG$7,$BF$7,IF(BN40&lt;$BI$7,$BH$7,IF(BN40&lt;$BK$7,$BJ$7,$BL$7))))))</f>
        <v>#VALUE!</v>
      </c>
      <c r="BQ40" s="227" t="e">
        <f>100-BN40-BT40</f>
        <v>#VALUE!</v>
      </c>
      <c r="BR40" s="225" t="s">
        <v>166</v>
      </c>
      <c r="BS40" s="226" t="e">
        <f>IF(BQ40&lt;$BA$7,$AZ$7,IF(BQ40&lt;$BC$7,$BB$7,IF(BQ40&lt;$BE$7,$BD$7,IF(BQ40&lt;$BG$7,$BF$7,IF(BQ40&lt;$BI$7,$BH$7,IF(BQ40&lt;$BK$7,$BJ$7,$BL$7))))))</f>
        <v>#VALUE!</v>
      </c>
      <c r="BT40" s="224" t="e">
        <f>100*IF(LN(BG40)&gt;0,IF(LN(AY40)-LN(BG40)&gt;0,1-TDIST((LN(AY40)-LN(BG40))/BX40,AZ40,1),TDIST((LN(BG40)-LN(AY40))/BX40,AZ40,1)),IF(LN(AY40)-LN(BG40)&gt;0,TDIST((LN(AY40)-LN(BG40))/BX40,AZ40,1),1-TDIST((LN(BG40)-LN(AY40))/BX40,AZ40,1)))</f>
        <v>#VALUE!</v>
      </c>
      <c r="BU40" s="225" t="s">
        <v>166</v>
      </c>
      <c r="BV40" s="226" t="e">
        <f>IF(BT40&lt;$BA$7,$AZ$7,IF(BT40&lt;$BC$7,$BB$7,IF(BT40&lt;$BE$7,$BD$7,IF(BT40&lt;$BG$7,$BF$7,IF(BT40&lt;$BI$7,$BH$7,IF(BT40&lt;$BK$7,$BJ$7,$BL$7))))))</f>
        <v>#VALUE!</v>
      </c>
      <c r="BW40" s="240" t="e">
        <f>BN40/(100-BN40)/(BT40/(100-BT40))</f>
        <v>#VALUE!</v>
      </c>
      <c r="BX40" s="230">
        <f>(LN(BB40)-LN(BA40))/2/TINV(1-BD40/100,AZ40)</f>
        <v>0.34739053940936648</v>
      </c>
      <c r="BY40" s="160" t="str">
        <f t="shared" si="11"/>
        <v>MTPf +1SD/-1SD</v>
      </c>
      <c r="BZ40" s="236">
        <f>AR40</f>
        <v>0.87183819677556973</v>
      </c>
      <c r="CA40" s="234">
        <f>F40</f>
        <v>65</v>
      </c>
      <c r="CB40" s="236">
        <f>AS40</f>
        <v>0.20755869256744536</v>
      </c>
      <c r="CC40" s="236">
        <f>AT40</f>
        <v>1.5362323109740683</v>
      </c>
      <c r="CD40" s="236">
        <f>(CC40-CB40)/2</f>
        <v>0.66433680920331151</v>
      </c>
      <c r="CE40" s="234">
        <f>100*(1-I40)</f>
        <v>90</v>
      </c>
      <c r="CF40" s="228">
        <f>100-2*$BC$7</f>
        <v>90</v>
      </c>
      <c r="CG40" s="233" t="e">
        <f t="shared" ref="CG40" si="33">$P$5*AU40+$Q$5*AV40</f>
        <v>#VALUE!</v>
      </c>
      <c r="CH40" s="233" t="e">
        <f t="shared" ref="CH40" si="34">$Q$5*AU40+$P$5*AV40</f>
        <v>#VALUE!</v>
      </c>
      <c r="CI40" s="242">
        <f>BZ40</f>
        <v>0.87183819677556973</v>
      </c>
      <c r="CJ40" s="242">
        <f>BZ40-TINV((100-CF40)/100,CA40)*CY40</f>
        <v>0.20750138757225822</v>
      </c>
      <c r="CK40" s="242">
        <f>BZ40+TINV((100-CF40)/100,CA40)*CY40</f>
        <v>1.5361750059788812</v>
      </c>
      <c r="CL40" s="242">
        <f>(CK40-CJ40)/2</f>
        <v>0.66433680920331151</v>
      </c>
      <c r="CM40" s="243" t="e">
        <f>IF(CO40&lt;$BE$7,IF(MAX(CR40,CU40)=CR40,CT40&amp;" trivial; don't use",CW40&amp;" harmful; don't use"),IF(CU40&lt;$BA$7,CQ40&amp;" beneficial; use","unclear; don't use"))</f>
        <v>#VALUE!</v>
      </c>
      <c r="CN40" s="243" t="e">
        <f>IF(MIN(CO40,CU40)&gt;$BC$7,"unclear",IF(MAX(CO40,CR40,CU40)=CO40,CQ40&amp;" "&amp;CG39,IF(MAX(CO40,CR40,CU40)=CR40,CT40&amp;" trivial",CW40&amp;" "&amp;CH39)))</f>
        <v>#VALUE!</v>
      </c>
      <c r="CO40" s="237" t="e">
        <f>100*IF(CG40&gt;0,IF(BZ40-CG40&gt;0,1-TDIST((BZ40-CG40)/CY40,CA40,1),TDIST((CG40-BZ40)/CY40,CA40,1)),IF(BZ40-CG40&gt;0,TDIST((BZ40-CG40)/CY40,CA40,1),1-TDIST((CG40-BZ40)/CY40,CA40,1)))</f>
        <v>#VALUE!</v>
      </c>
      <c r="CP40" s="238" t="s">
        <v>166</v>
      </c>
      <c r="CQ40" s="226" t="e">
        <f>IF(CO40&lt;$BA$7,$AZ$7,IF(CO40&lt;$BC$7,$BB$7,IF(CO40&lt;$BE$7,$BD$7,IF(CO40&lt;$BG$7,$BF$7,IF(CO40&lt;$BI$7,$BH$7,IF(CO40&lt;$BK$7,$BJ$7,$BL$7))))))</f>
        <v>#VALUE!</v>
      </c>
      <c r="CR40" s="239" t="e">
        <f>100-CO40-CU40</f>
        <v>#VALUE!</v>
      </c>
      <c r="CS40" s="238" t="s">
        <v>166</v>
      </c>
      <c r="CT40" s="226" t="e">
        <f>IF(CR40&lt;$BA$7,$AZ$7,IF(CR40&lt;$BC$7,$BB$7,IF(CR40&lt;$BE$7,$BD$7,IF(CR40&lt;$BG$7,$BF$7,IF(CR40&lt;$BI$7,$BH$7,IF(CR40&lt;$BK$7,$BJ$7,$BL$7))))))</f>
        <v>#VALUE!</v>
      </c>
      <c r="CU40" s="237" t="e">
        <f>100*IF(CH40&gt;0,IF(BZ40-CH40&gt;0,1-TDIST((BZ40-CH40)/CY40,CA40,1),TDIST((CH40-BZ40)/CY40,CA40,1)),IF(BZ40-CH40&gt;0,TDIST((BZ40-CH40)/CY40,CA40,1),1-TDIST((CH40-BZ40)/CY40,CA40,1)))</f>
        <v>#VALUE!</v>
      </c>
      <c r="CV40" s="238" t="s">
        <v>166</v>
      </c>
      <c r="CW40" s="226" t="e">
        <f>IF(CU40&lt;$BA$7,$AZ$7,IF(CU40&lt;$BC$7,$BB$7,IF(CU40&lt;$BE$7,$BD$7,IF(CU40&lt;$BG$7,$BF$7,IF(CU40&lt;$BI$7,$BH$7,IF(CU40&lt;$BK$7,$BJ$7,$BL$7))))))</f>
        <v>#VALUE!</v>
      </c>
      <c r="CX40" s="240" t="e">
        <f>CO40/(100-CO40)/(CU40/(100-CU40))</f>
        <v>#VALUE!</v>
      </c>
      <c r="CY40" s="230">
        <f>(CC40-CB40)/2/TINV(1-CE40/100,CA40)</f>
        <v>0.39813165892331526</v>
      </c>
      <c r="CZ40" s="258" t="str">
        <f>U40</f>
        <v>MTPf +1SD/-1SD</v>
      </c>
    </row>
    <row r="41" spans="3:104" ht="15.65" customHeight="1" x14ac:dyDescent="0.3">
      <c r="C41" s="202" t="s">
        <v>129</v>
      </c>
      <c r="D41" s="151">
        <v>0</v>
      </c>
      <c r="E41" s="140" t="s">
        <v>64</v>
      </c>
      <c r="F41" s="140" t="s">
        <v>64</v>
      </c>
      <c r="G41" s="151" t="s">
        <v>64</v>
      </c>
      <c r="H41" s="140" t="s">
        <v>64</v>
      </c>
      <c r="I41" s="140" t="s">
        <v>64</v>
      </c>
      <c r="J41" s="151" t="s">
        <v>64</v>
      </c>
      <c r="K41" s="140" t="s">
        <v>64</v>
      </c>
      <c r="L41" s="140" t="s">
        <v>64</v>
      </c>
      <c r="M41" s="140" t="s">
        <v>64</v>
      </c>
      <c r="N41" s="140" t="s">
        <v>64</v>
      </c>
      <c r="O41" s="165"/>
      <c r="P41" s="161"/>
      <c r="Q41" s="178"/>
      <c r="R41" s="183"/>
      <c r="U41" s="184"/>
      <c r="X41" s="168"/>
      <c r="Y41" s="168"/>
      <c r="Z41" s="144"/>
      <c r="AA41" s="144"/>
      <c r="AC41" s="197"/>
      <c r="AD41" s="197"/>
      <c r="AE41" s="198"/>
      <c r="AF41" s="198"/>
      <c r="AG41" s="199"/>
      <c r="AH41" s="199"/>
      <c r="AJ41" s="144"/>
      <c r="AK41" s="144"/>
      <c r="AL41" s="146"/>
      <c r="AM41" s="144"/>
      <c r="AN41" s="144"/>
      <c r="AO41" s="144"/>
      <c r="AP41" s="147"/>
      <c r="AR41" s="144"/>
      <c r="AS41" s="144"/>
      <c r="AT41" s="144"/>
      <c r="AU41" s="148"/>
      <c r="AV41" s="144"/>
      <c r="AY41" s="266" t="s">
        <v>210</v>
      </c>
      <c r="AZ41" s="267"/>
      <c r="BA41" s="267"/>
      <c r="BB41" s="267"/>
      <c r="BC41" s="267"/>
      <c r="BD41" s="267"/>
      <c r="BE41" s="268"/>
      <c r="BF41" s="277" t="s">
        <v>208</v>
      </c>
      <c r="BG41" s="278"/>
      <c r="BH41" s="281" t="s">
        <v>211</v>
      </c>
      <c r="BI41" s="282"/>
      <c r="BJ41" s="282"/>
      <c r="BK41" s="282"/>
      <c r="BL41" s="282"/>
      <c r="BM41" s="283"/>
      <c r="BN41" s="284" t="s">
        <v>150</v>
      </c>
      <c r="BO41" s="285"/>
      <c r="BP41" s="285"/>
      <c r="BQ41" s="285"/>
      <c r="BR41" s="285"/>
      <c r="BS41" s="285"/>
      <c r="BT41" s="285"/>
      <c r="BU41" s="285"/>
      <c r="BV41" s="286"/>
      <c r="BY41" s="163"/>
      <c r="BZ41" s="266" t="s">
        <v>169</v>
      </c>
      <c r="CA41" s="267"/>
      <c r="CB41" s="267"/>
      <c r="CC41" s="267"/>
      <c r="CD41" s="267"/>
      <c r="CE41" s="267"/>
      <c r="CF41" s="268"/>
      <c r="CG41" s="277" t="s">
        <v>208</v>
      </c>
      <c r="CH41" s="278"/>
      <c r="CI41" s="281" t="s">
        <v>180</v>
      </c>
      <c r="CJ41" s="282"/>
      <c r="CK41" s="282"/>
      <c r="CL41" s="282"/>
      <c r="CM41" s="282"/>
      <c r="CN41" s="283"/>
      <c r="CO41" s="284" t="s">
        <v>150</v>
      </c>
      <c r="CP41" s="285"/>
      <c r="CQ41" s="285"/>
      <c r="CR41" s="285"/>
      <c r="CS41" s="285"/>
      <c r="CT41" s="285"/>
      <c r="CU41" s="285"/>
      <c r="CV41" s="285"/>
      <c r="CW41" s="286"/>
    </row>
    <row r="42" spans="3:104" x14ac:dyDescent="0.3">
      <c r="C42" s="202" t="s">
        <v>43</v>
      </c>
      <c r="D42" s="151">
        <v>2.7147000000000001</v>
      </c>
      <c r="E42" s="140">
        <v>0.1552</v>
      </c>
      <c r="F42" s="140">
        <v>65</v>
      </c>
      <c r="G42" s="151">
        <v>17.5</v>
      </c>
      <c r="H42" s="140" t="s">
        <v>11</v>
      </c>
      <c r="I42" s="140">
        <v>0.1</v>
      </c>
      <c r="J42" s="151">
        <v>2.4558</v>
      </c>
      <c r="K42" s="140">
        <v>2.9735999999999998</v>
      </c>
      <c r="L42" s="140">
        <v>15.100099999999999</v>
      </c>
      <c r="M42" s="140">
        <v>11.6555</v>
      </c>
      <c r="N42" s="140">
        <v>19.5625</v>
      </c>
      <c r="O42" s="140"/>
      <c r="P42" s="144"/>
      <c r="Q42" s="162" t="str">
        <f>C42</f>
        <v>Mean @ -1SD MTPf</v>
      </c>
      <c r="R42" s="149">
        <f t="shared" ref="R42:R43" si="35">L42</f>
        <v>15.100099999999999</v>
      </c>
      <c r="U42" s="161" t="str">
        <f>IF(ISBLANK(C41),"",C41)</f>
        <v>Fwds:</v>
      </c>
      <c r="V42" s="153"/>
      <c r="X42" s="147" t="s">
        <v>103</v>
      </c>
      <c r="Y42" s="147"/>
      <c r="Z42" s="144"/>
      <c r="AA42" s="144"/>
      <c r="AC42" s="200"/>
      <c r="AD42" s="197"/>
      <c r="AE42" s="150" t="s">
        <v>121</v>
      </c>
      <c r="AF42" s="150"/>
      <c r="AG42" s="199"/>
      <c r="AH42" s="199"/>
      <c r="AJ42" s="144"/>
      <c r="AK42" s="144"/>
      <c r="AL42" s="147" t="s">
        <v>102</v>
      </c>
      <c r="AM42" s="143"/>
      <c r="AN42" s="143"/>
      <c r="AO42" s="143"/>
      <c r="AP42" s="143" t="s">
        <v>75</v>
      </c>
      <c r="AR42" s="144"/>
      <c r="AS42" s="144"/>
      <c r="AT42" s="190" t="s">
        <v>193</v>
      </c>
      <c r="AU42" s="144"/>
      <c r="AV42" s="144"/>
      <c r="AW42" s="258" t="str">
        <f t="shared" ref="AW42" si="36">IF(ISBLANK(U42),"",U42)</f>
        <v>Fwds:</v>
      </c>
      <c r="AY42" s="269" t="s">
        <v>175</v>
      </c>
      <c r="AZ42" s="271" t="s">
        <v>152</v>
      </c>
      <c r="BA42" s="273" t="s">
        <v>153</v>
      </c>
      <c r="BB42" s="274"/>
      <c r="BC42" s="275"/>
      <c r="BD42" s="276" t="s">
        <v>154</v>
      </c>
      <c r="BE42" s="276"/>
      <c r="BF42" s="231" t="s">
        <v>171</v>
      </c>
      <c r="BG42" s="232" t="s">
        <v>172</v>
      </c>
      <c r="BH42" s="273" t="str">
        <f>"Effect &amp; re-estimated "&amp;BE44&amp;"% confidence limits"</f>
        <v>Effect &amp; re-estimated 90% confidence limits</v>
      </c>
      <c r="BI42" s="274"/>
      <c r="BJ42" s="274"/>
      <c r="BK42" s="275"/>
      <c r="BL42" s="277" t="s">
        <v>155</v>
      </c>
      <c r="BM42" s="278"/>
      <c r="BN42" s="287" t="e">
        <f>"...beneficial or
substantially "&amp;BF43</f>
        <v>#VALUE!</v>
      </c>
      <c r="BO42" s="288"/>
      <c r="BP42" s="289"/>
      <c r="BQ42" s="293" t="s">
        <v>156</v>
      </c>
      <c r="BR42" s="293"/>
      <c r="BS42" s="294"/>
      <c r="BT42" s="297" t="e">
        <f>"...harmful or 
substantially "&amp;BG43</f>
        <v>#VALUE!</v>
      </c>
      <c r="BU42" s="298"/>
      <c r="BV42" s="299"/>
      <c r="BW42" s="303" t="s">
        <v>157</v>
      </c>
      <c r="BY42" s="259" t="str">
        <f t="shared" ref="BY42" si="37">IF(ISBLANK(U42),"",U42)</f>
        <v>Fwds:</v>
      </c>
      <c r="BZ42" s="269" t="s">
        <v>151</v>
      </c>
      <c r="CA42" s="271" t="s">
        <v>152</v>
      </c>
      <c r="CB42" s="273" t="s">
        <v>153</v>
      </c>
      <c r="CC42" s="274"/>
      <c r="CD42" s="275"/>
      <c r="CE42" s="276" t="s">
        <v>154</v>
      </c>
      <c r="CF42" s="276"/>
      <c r="CG42" s="231" t="s">
        <v>171</v>
      </c>
      <c r="CH42" s="232" t="s">
        <v>172</v>
      </c>
      <c r="CI42" s="273" t="str">
        <f>"Effect &amp; re-estimated "&amp;CF44&amp;"% confidence limits"</f>
        <v>Effect &amp; re-estimated 90% confidence limits</v>
      </c>
      <c r="CJ42" s="274"/>
      <c r="CK42" s="274"/>
      <c r="CL42" s="275"/>
      <c r="CM42" s="277" t="s">
        <v>155</v>
      </c>
      <c r="CN42" s="278"/>
      <c r="CO42" s="287" t="e">
        <f>"...beneficial or
substantially "&amp;CG43</f>
        <v>#VALUE!</v>
      </c>
      <c r="CP42" s="288"/>
      <c r="CQ42" s="289"/>
      <c r="CR42" s="293" t="s">
        <v>156</v>
      </c>
      <c r="CS42" s="293"/>
      <c r="CT42" s="294"/>
      <c r="CU42" s="297" t="e">
        <f>"...harmful or 
substantially "&amp;CH43</f>
        <v>#VALUE!</v>
      </c>
      <c r="CV42" s="298"/>
      <c r="CW42" s="299"/>
      <c r="CX42" s="303" t="s">
        <v>157</v>
      </c>
      <c r="CZ42" s="154" t="str">
        <f t="shared" ref="CZ42" si="38">IF(ISBLANK(C41),"",C41)</f>
        <v>Fwds:</v>
      </c>
    </row>
    <row r="43" spans="3:104" x14ac:dyDescent="0.3">
      <c r="C43" s="202" t="s">
        <v>44</v>
      </c>
      <c r="D43" s="151">
        <v>2.5329999999999999</v>
      </c>
      <c r="E43" s="140">
        <v>0.15310000000000001</v>
      </c>
      <c r="F43" s="140">
        <v>65</v>
      </c>
      <c r="G43" s="151">
        <v>16.54</v>
      </c>
      <c r="H43" s="140" t="s">
        <v>11</v>
      </c>
      <c r="I43" s="140">
        <v>0.1</v>
      </c>
      <c r="J43" s="151">
        <v>2.2774999999999999</v>
      </c>
      <c r="K43" s="140">
        <v>2.7885</v>
      </c>
      <c r="L43" s="140">
        <v>12.5914</v>
      </c>
      <c r="M43" s="140">
        <v>9.7525999999999993</v>
      </c>
      <c r="N43" s="140">
        <v>16.256599999999999</v>
      </c>
      <c r="O43" s="140"/>
      <c r="P43" s="144"/>
      <c r="Q43" s="162" t="str">
        <f>C43</f>
        <v>Mean @ +1SD MTPf</v>
      </c>
      <c r="R43" s="149">
        <f t="shared" si="35"/>
        <v>12.5914</v>
      </c>
      <c r="T43" s="176"/>
      <c r="U43" s="196"/>
      <c r="V43" s="191" t="s">
        <v>2</v>
      </c>
      <c r="W43" s="191" t="s">
        <v>12</v>
      </c>
      <c r="X43" s="191" t="s">
        <v>13</v>
      </c>
      <c r="Y43" s="206" t="s">
        <v>141</v>
      </c>
      <c r="Z43" s="191" t="s">
        <v>61</v>
      </c>
      <c r="AA43" s="191" t="s">
        <v>60</v>
      </c>
      <c r="AC43" s="201" t="s">
        <v>2</v>
      </c>
      <c r="AD43" s="201" t="s">
        <v>12</v>
      </c>
      <c r="AE43" s="201" t="s">
        <v>13</v>
      </c>
      <c r="AF43" s="191" t="s">
        <v>230</v>
      </c>
      <c r="AG43" s="201" t="s">
        <v>61</v>
      </c>
      <c r="AH43" s="201" t="s">
        <v>60</v>
      </c>
      <c r="AJ43" s="191" t="s">
        <v>2</v>
      </c>
      <c r="AK43" s="191" t="s">
        <v>12</v>
      </c>
      <c r="AL43" s="191" t="s">
        <v>13</v>
      </c>
      <c r="AM43" s="191" t="s">
        <v>61</v>
      </c>
      <c r="AN43" s="191" t="s">
        <v>60</v>
      </c>
      <c r="AO43" s="191"/>
      <c r="AP43" s="192" t="s">
        <v>83</v>
      </c>
      <c r="AR43" s="191" t="s">
        <v>2</v>
      </c>
      <c r="AS43" s="191" t="s">
        <v>12</v>
      </c>
      <c r="AT43" s="191" t="s">
        <v>13</v>
      </c>
      <c r="AU43" s="193" t="s">
        <v>61</v>
      </c>
      <c r="AV43" s="193" t="s">
        <v>60</v>
      </c>
      <c r="AY43" s="270"/>
      <c r="AZ43" s="272"/>
      <c r="BA43" s="213" t="s">
        <v>158</v>
      </c>
      <c r="BB43" s="214" t="s">
        <v>159</v>
      </c>
      <c r="BC43" s="219" t="s">
        <v>168</v>
      </c>
      <c r="BD43" s="215" t="s">
        <v>160</v>
      </c>
      <c r="BE43" s="216" t="s">
        <v>161</v>
      </c>
      <c r="BF43" s="217" t="e">
        <f>IF(BF44&lt;1,"decr.","incr.")</f>
        <v>#VALUE!</v>
      </c>
      <c r="BG43" s="218" t="e">
        <f>IF(BG44&gt;1,"incr.","decr.")</f>
        <v>#VALUE!</v>
      </c>
      <c r="BH43" s="212" t="s">
        <v>17</v>
      </c>
      <c r="BI43" s="216" t="s">
        <v>162</v>
      </c>
      <c r="BJ43" s="216" t="s">
        <v>163</v>
      </c>
      <c r="BK43" s="219" t="s">
        <v>168</v>
      </c>
      <c r="BL43" s="220" t="s">
        <v>164</v>
      </c>
      <c r="BM43" s="221" t="s">
        <v>165</v>
      </c>
      <c r="BN43" s="290"/>
      <c r="BO43" s="291"/>
      <c r="BP43" s="292"/>
      <c r="BQ43" s="295"/>
      <c r="BR43" s="295"/>
      <c r="BS43" s="296"/>
      <c r="BT43" s="300"/>
      <c r="BU43" s="301"/>
      <c r="BV43" s="302"/>
      <c r="BW43" s="304"/>
      <c r="BX43" s="223" t="s">
        <v>167</v>
      </c>
      <c r="BY43" s="163"/>
      <c r="BZ43" s="270"/>
      <c r="CA43" s="272"/>
      <c r="CB43" s="213" t="s">
        <v>158</v>
      </c>
      <c r="CC43" s="214" t="s">
        <v>159</v>
      </c>
      <c r="CD43" s="219" t="s">
        <v>138</v>
      </c>
      <c r="CE43" s="215" t="s">
        <v>160</v>
      </c>
      <c r="CF43" s="216" t="s">
        <v>161</v>
      </c>
      <c r="CG43" s="217" t="e">
        <f t="shared" ref="CG43" si="39">IF(CG44&lt;0,"decr.","incr.")</f>
        <v>#VALUE!</v>
      </c>
      <c r="CH43" s="218" t="e">
        <f t="shared" ref="CH43" si="40">IF(CH44&gt;0,"incr.","decr.")</f>
        <v>#VALUE!</v>
      </c>
      <c r="CI43" s="212" t="s">
        <v>17</v>
      </c>
      <c r="CJ43" s="216" t="s">
        <v>162</v>
      </c>
      <c r="CK43" s="216" t="s">
        <v>163</v>
      </c>
      <c r="CL43" s="219" t="s">
        <v>138</v>
      </c>
      <c r="CM43" s="220" t="s">
        <v>164</v>
      </c>
      <c r="CN43" s="221" t="s">
        <v>165</v>
      </c>
      <c r="CO43" s="290"/>
      <c r="CP43" s="291"/>
      <c r="CQ43" s="292"/>
      <c r="CR43" s="295"/>
      <c r="CS43" s="295"/>
      <c r="CT43" s="296"/>
      <c r="CU43" s="300"/>
      <c r="CV43" s="301"/>
      <c r="CW43" s="302"/>
      <c r="CX43" s="304"/>
      <c r="CY43" s="222" t="s">
        <v>167</v>
      </c>
    </row>
    <row r="44" spans="3:104" x14ac:dyDescent="0.3">
      <c r="C44" s="203" t="s">
        <v>81</v>
      </c>
      <c r="D44" s="139">
        <v>-0.1817</v>
      </c>
      <c r="E44" s="139">
        <v>0.18970000000000001</v>
      </c>
      <c r="F44" s="139">
        <v>65</v>
      </c>
      <c r="G44" s="139">
        <v>-0.96</v>
      </c>
      <c r="H44" s="139">
        <v>0.3417</v>
      </c>
      <c r="I44" s="139">
        <v>0.1</v>
      </c>
      <c r="J44" s="139">
        <v>-0.49819999999999998</v>
      </c>
      <c r="K44" s="139">
        <v>0.1348</v>
      </c>
      <c r="L44" s="139">
        <v>0.83389999999999997</v>
      </c>
      <c r="M44" s="139">
        <v>0.60760000000000003</v>
      </c>
      <c r="N44" s="139">
        <v>1.1443000000000001</v>
      </c>
      <c r="O44" s="140"/>
      <c r="U44" s="161" t="str">
        <f>C44</f>
        <v>MTPf +1SD/-1SD</v>
      </c>
      <c r="V44" s="180">
        <f>L44</f>
        <v>0.83389999999999997</v>
      </c>
      <c r="W44" s="180">
        <f>M44</f>
        <v>0.60760000000000003</v>
      </c>
      <c r="X44" s="180">
        <f>N44</f>
        <v>1.1443000000000001</v>
      </c>
      <c r="Y44" s="180">
        <f>SQRT(X44/W44)</f>
        <v>1.3723379281619226</v>
      </c>
      <c r="Z44" s="143">
        <f>$V$26</f>
        <v>0.9</v>
      </c>
      <c r="AA44" s="143">
        <f>$V$27</f>
        <v>1.1111111111111112</v>
      </c>
      <c r="AC44" s="181">
        <f>100*V44-100</f>
        <v>-16.61</v>
      </c>
      <c r="AD44" s="181">
        <f t="shared" ref="AD44" si="41">100*W44-100</f>
        <v>-39.239999999999995</v>
      </c>
      <c r="AE44" s="181">
        <f t="shared" ref="AE44" si="42">100*X44-100</f>
        <v>14.430000000000007</v>
      </c>
      <c r="AF44" s="181">
        <f>(AE44-AD44)/2</f>
        <v>26.835000000000001</v>
      </c>
      <c r="AG44" s="150">
        <f t="shared" ref="AG44" si="43">100*Z44-100</f>
        <v>-10</v>
      </c>
      <c r="AH44" s="150">
        <f t="shared" ref="AH44" si="44">100*AA44-100</f>
        <v>11.111111111111114</v>
      </c>
      <c r="AJ44" s="143">
        <f>D44</f>
        <v>-0.1817</v>
      </c>
      <c r="AK44" s="143">
        <f>J44</f>
        <v>-0.49819999999999998</v>
      </c>
      <c r="AL44" s="143">
        <f>K44</f>
        <v>0.1348</v>
      </c>
      <c r="AM44" s="143">
        <f>LN(Z44)</f>
        <v>-0.10536051565782628</v>
      </c>
      <c r="AN44" s="143">
        <f>LN(AA44)</f>
        <v>0.10536051565782635</v>
      </c>
      <c r="AO44" s="143"/>
      <c r="AP44" s="143">
        <f>SQRT($D$11+$D$13*100/$N$6/L42)</f>
        <v>0.42258468160484164</v>
      </c>
      <c r="AQ44" s="175"/>
      <c r="AR44" s="143">
        <f>AJ44/AP44</f>
        <v>-0.42997299218220936</v>
      </c>
      <c r="AS44" s="143">
        <f>AK44/AP44</f>
        <v>-1.1789353038259587</v>
      </c>
      <c r="AT44" s="143">
        <f>AL44/AP44</f>
        <v>0.31898931946154002</v>
      </c>
      <c r="AU44" s="143">
        <f>$AR$26</f>
        <v>-0.2</v>
      </c>
      <c r="AV44" s="143">
        <f>$AR$27</f>
        <v>0.2</v>
      </c>
      <c r="AW44" s="204" t="str">
        <f t="shared" ref="AW44" si="45">U44</f>
        <v>MTPf +1SD/-1SD</v>
      </c>
      <c r="AY44" s="233">
        <f>V44</f>
        <v>0.83389999999999997</v>
      </c>
      <c r="AZ44" s="234">
        <f>F44</f>
        <v>65</v>
      </c>
      <c r="BA44" s="233">
        <f>W44</f>
        <v>0.60760000000000003</v>
      </c>
      <c r="BB44" s="233">
        <f>X44</f>
        <v>1.1443000000000001</v>
      </c>
      <c r="BC44" s="233">
        <f>SQRT(BB44/BA44)</f>
        <v>1.3723379281619226</v>
      </c>
      <c r="BD44" s="235">
        <f>100*(1-I44)</f>
        <v>90</v>
      </c>
      <c r="BE44" s="228">
        <f>100-2*$BC$7</f>
        <v>90</v>
      </c>
      <c r="BF44" s="233" t="e">
        <f>$P$5*Z44+$Q$5*AA44</f>
        <v>#VALUE!</v>
      </c>
      <c r="BG44" s="233" t="e">
        <f>$Q$5*Z44+$P$5*AA44</f>
        <v>#VALUE!</v>
      </c>
      <c r="BH44" s="229">
        <f>AY44</f>
        <v>0.83389999999999997</v>
      </c>
      <c r="BI44" s="229">
        <f>EXP(LN(AY44)-TINV((100-BE44)/100,AZ44)*BX44)</f>
        <v>0.60764916780876732</v>
      </c>
      <c r="BJ44" s="229">
        <f>EXP(LN(AY44)+TINV((100-BE44)/100,AZ44)*BX44)</f>
        <v>1.1443925982942271</v>
      </c>
      <c r="BK44" s="229">
        <f>SQRT(BJ44/BI44)</f>
        <v>1.3723379281619223</v>
      </c>
      <c r="BL44" s="243" t="e">
        <f>IF(BN44&lt;$BE$7,IF(MAX(BQ44,BT44)=BQ44,BS44&amp;" trivial; don't use",BV44&amp;" harmful; don't use"),IF(BT44&lt;$BA$7,BP44&amp;" beneficial; use","unclear; don't use"))</f>
        <v>#VALUE!</v>
      </c>
      <c r="BM44" s="243" t="e">
        <f>IF(MIN(BN44,BT44)&gt;$BC$7,"unclear",IF(MAX(BN44,BQ44,BT44)=BN44,BP44&amp;" "&amp;BF43,IF(MAX(BN44,BQ44,BT44)=BQ44,BS44&amp;" trivial",BV44&amp;" "&amp;BG43)))</f>
        <v>#VALUE!</v>
      </c>
      <c r="BN44" s="224" t="e">
        <f>100*IF(LN(BF44)&gt;0,IF(LN(AY44)-LN(BF44)&gt;0,1-TDIST((LN(AY44)-LN(BF44))/BX44,AZ44,1),TDIST((LN(BF44)-LN(AY44))/BX44,AZ44,1)),IF(LN(AY44)-LN(BF44)&gt;0,TDIST((LN(AY44)-LN(BF44))/BX44,AZ44,1),1-TDIST((LN(BF44)-LN(AY44))/BX44,AZ44,1)))</f>
        <v>#VALUE!</v>
      </c>
      <c r="BO44" s="225" t="s">
        <v>166</v>
      </c>
      <c r="BP44" s="226" t="e">
        <f>IF(BN44&lt;$BA$7,$AZ$7,IF(BN44&lt;$BC$7,$BB$7,IF(BN44&lt;$BE$7,$BD$7,IF(BN44&lt;$BG$7,$BF$7,IF(BN44&lt;$BI$7,$BH$7,IF(BN44&lt;$BK$7,$BJ$7,$BL$7))))))</f>
        <v>#VALUE!</v>
      </c>
      <c r="BQ44" s="227" t="e">
        <f>100-BN44-BT44</f>
        <v>#VALUE!</v>
      </c>
      <c r="BR44" s="225" t="s">
        <v>166</v>
      </c>
      <c r="BS44" s="226" t="e">
        <f>IF(BQ44&lt;$BA$7,$AZ$7,IF(BQ44&lt;$BC$7,$BB$7,IF(BQ44&lt;$BE$7,$BD$7,IF(BQ44&lt;$BG$7,$BF$7,IF(BQ44&lt;$BI$7,$BH$7,IF(BQ44&lt;$BK$7,$BJ$7,$BL$7))))))</f>
        <v>#VALUE!</v>
      </c>
      <c r="BT44" s="224" t="e">
        <f>100*IF(LN(BG44)&gt;0,IF(LN(AY44)-LN(BG44)&gt;0,1-TDIST((LN(AY44)-LN(BG44))/BX44,AZ44,1),TDIST((LN(BG44)-LN(AY44))/BX44,AZ44,1)),IF(LN(AY44)-LN(BG44)&gt;0,TDIST((LN(AY44)-LN(BG44))/BX44,AZ44,1),1-TDIST((LN(BG44)-LN(AY44))/BX44,AZ44,1)))</f>
        <v>#VALUE!</v>
      </c>
      <c r="BU44" s="225" t="s">
        <v>166</v>
      </c>
      <c r="BV44" s="226" t="e">
        <f>IF(BT44&lt;$BA$7,$AZ$7,IF(BT44&lt;$BC$7,$BB$7,IF(BT44&lt;$BE$7,$BD$7,IF(BT44&lt;$BG$7,$BF$7,IF(BT44&lt;$BI$7,$BH$7,IF(BT44&lt;$BK$7,$BJ$7,$BL$7))))))</f>
        <v>#VALUE!</v>
      </c>
      <c r="BW44" s="240" t="e">
        <f>BN44/(100-BN44)/(BT44/(100-BT44))</f>
        <v>#VALUE!</v>
      </c>
      <c r="BX44" s="230">
        <f>(LN(BB44)-LN(BA44))/2/TINV(1-BD44/100,AZ44)</f>
        <v>0.18968535191760871</v>
      </c>
      <c r="BY44" s="160" t="str">
        <f t="shared" si="11"/>
        <v>MTPf +1SD/-1SD</v>
      </c>
      <c r="BZ44" s="236">
        <f>AR44</f>
        <v>-0.42997299218220936</v>
      </c>
      <c r="CA44" s="234">
        <f>F44</f>
        <v>65</v>
      </c>
      <c r="CB44" s="236">
        <f>AS44</f>
        <v>-1.1789353038259587</v>
      </c>
      <c r="CC44" s="236">
        <f>AT44</f>
        <v>0.31898931946154002</v>
      </c>
      <c r="CD44" s="236">
        <f>(CC44-CB44)/2</f>
        <v>0.74896231164374938</v>
      </c>
      <c r="CE44" s="234">
        <f>100*(1-I44)</f>
        <v>90</v>
      </c>
      <c r="CF44" s="228">
        <f>100-2*$BC$7</f>
        <v>90</v>
      </c>
      <c r="CG44" s="233" t="e">
        <f t="shared" ref="CG44" si="46">$P$5*AU44+$Q$5*AV44</f>
        <v>#VALUE!</v>
      </c>
      <c r="CH44" s="233" t="e">
        <f t="shared" ref="CH44" si="47">$Q$5*AU44+$P$5*AV44</f>
        <v>#VALUE!</v>
      </c>
      <c r="CI44" s="242">
        <f>BZ44</f>
        <v>-0.42997299218220936</v>
      </c>
      <c r="CJ44" s="242">
        <f>BZ44-TINV((100-CF44)/100,CA44)*CY44</f>
        <v>-1.1789353038259587</v>
      </c>
      <c r="CK44" s="242">
        <f>BZ44+TINV((100-CF44)/100,CA44)*CY44</f>
        <v>0.31898931946154002</v>
      </c>
      <c r="CL44" s="242">
        <f>(CK44-CJ44)/2</f>
        <v>0.74896231164374938</v>
      </c>
      <c r="CM44" s="243" t="e">
        <f>IF(CO44&lt;$BE$7,IF(MAX(CR44,CU44)=CR44,CT44&amp;" trivial; don't use",CW44&amp;" harmful; don't use"),IF(CU44&lt;$BA$7,CQ44&amp;" beneficial; use","unclear; don't use"))</f>
        <v>#VALUE!</v>
      </c>
      <c r="CN44" s="243" t="e">
        <f>IF(MIN(CO44,CU44)&gt;$BC$7,"unclear",IF(MAX(CO44,CR44,CU44)=CO44,CQ44&amp;" "&amp;CG43,IF(MAX(CO44,CR44,CU44)=CR44,CT44&amp;" trivial",CW44&amp;" "&amp;CH43)))</f>
        <v>#VALUE!</v>
      </c>
      <c r="CO44" s="237" t="e">
        <f>100*IF(CG44&gt;0,IF(BZ44-CG44&gt;0,1-TDIST((BZ44-CG44)/CY44,CA44,1),TDIST((CG44-BZ44)/CY44,CA44,1)),IF(BZ44-CG44&gt;0,TDIST((BZ44-CG44)/CY44,CA44,1),1-TDIST((CG44-BZ44)/CY44,CA44,1)))</f>
        <v>#VALUE!</v>
      </c>
      <c r="CP44" s="238" t="s">
        <v>166</v>
      </c>
      <c r="CQ44" s="226" t="e">
        <f>IF(CO44&lt;$BA$7,$AZ$7,IF(CO44&lt;$BC$7,$BB$7,IF(CO44&lt;$BE$7,$BD$7,IF(CO44&lt;$BG$7,$BF$7,IF(CO44&lt;$BI$7,$BH$7,IF(CO44&lt;$BK$7,$BJ$7,$BL$7))))))</f>
        <v>#VALUE!</v>
      </c>
      <c r="CR44" s="239" t="e">
        <f>100-CO44-CU44</f>
        <v>#VALUE!</v>
      </c>
      <c r="CS44" s="238" t="s">
        <v>166</v>
      </c>
      <c r="CT44" s="226" t="e">
        <f>IF(CR44&lt;$BA$7,$AZ$7,IF(CR44&lt;$BC$7,$BB$7,IF(CR44&lt;$BE$7,$BD$7,IF(CR44&lt;$BG$7,$BF$7,IF(CR44&lt;$BI$7,$BH$7,IF(CR44&lt;$BK$7,$BJ$7,$BL$7))))))</f>
        <v>#VALUE!</v>
      </c>
      <c r="CU44" s="237" t="e">
        <f>100*IF(CH44&gt;0,IF(BZ44-CH44&gt;0,1-TDIST((BZ44-CH44)/CY44,CA44,1),TDIST((CH44-BZ44)/CY44,CA44,1)),IF(BZ44-CH44&gt;0,TDIST((BZ44-CH44)/CY44,CA44,1),1-TDIST((CH44-BZ44)/CY44,CA44,1)))</f>
        <v>#VALUE!</v>
      </c>
      <c r="CV44" s="238" t="s">
        <v>166</v>
      </c>
      <c r="CW44" s="226" t="e">
        <f>IF(CU44&lt;$BA$7,$AZ$7,IF(CU44&lt;$BC$7,$BB$7,IF(CU44&lt;$BE$7,$BD$7,IF(CU44&lt;$BG$7,$BF$7,IF(CU44&lt;$BI$7,$BH$7,IF(CU44&lt;$BK$7,$BJ$7,$BL$7))))))</f>
        <v>#VALUE!</v>
      </c>
      <c r="CX44" s="240" t="e">
        <f>CO44/(100-CO44)/(CU44/(100-CU44))</f>
        <v>#VALUE!</v>
      </c>
      <c r="CY44" s="230">
        <f>(CC44-CB44)/2/TINV(1-CE44/100,CA44)</f>
        <v>0.44884703583316155</v>
      </c>
      <c r="CZ44" s="258" t="str">
        <f>U44</f>
        <v>MTPf +1SD/-1SD</v>
      </c>
    </row>
    <row r="45" spans="3:104" ht="15.65" customHeight="1" x14ac:dyDescent="0.3">
      <c r="C45" s="203" t="s">
        <v>134</v>
      </c>
      <c r="D45" s="139">
        <v>0</v>
      </c>
      <c r="E45" s="139" t="s">
        <v>64</v>
      </c>
      <c r="F45" s="139" t="s">
        <v>64</v>
      </c>
      <c r="G45" s="139" t="s">
        <v>64</v>
      </c>
      <c r="H45" s="139" t="s">
        <v>64</v>
      </c>
      <c r="I45" s="139" t="s">
        <v>64</v>
      </c>
      <c r="J45" s="139" t="s">
        <v>64</v>
      </c>
      <c r="K45" s="139" t="s">
        <v>64</v>
      </c>
      <c r="L45" s="139" t="s">
        <v>64</v>
      </c>
      <c r="M45" s="139" t="s">
        <v>64</v>
      </c>
      <c r="N45" s="139" t="s">
        <v>64</v>
      </c>
      <c r="O45" s="165"/>
      <c r="P45" s="161"/>
      <c r="Q45" s="178"/>
      <c r="R45" s="183"/>
      <c r="U45" s="184"/>
      <c r="X45" s="168"/>
      <c r="Y45" s="168"/>
      <c r="Z45" s="144"/>
      <c r="AA45" s="144"/>
      <c r="AC45" s="197"/>
      <c r="AD45" s="197"/>
      <c r="AE45" s="198"/>
      <c r="AF45" s="198"/>
      <c r="AG45" s="199"/>
      <c r="AH45" s="199"/>
      <c r="AJ45" s="144"/>
      <c r="AK45" s="144"/>
      <c r="AL45" s="146"/>
      <c r="AM45" s="144"/>
      <c r="AN45" s="144"/>
      <c r="AO45" s="144"/>
      <c r="AP45" s="147"/>
      <c r="AR45" s="144"/>
      <c r="AS45" s="144"/>
      <c r="AT45" s="144"/>
      <c r="AU45" s="148"/>
      <c r="AV45" s="144"/>
      <c r="AY45" s="266" t="s">
        <v>210</v>
      </c>
      <c r="AZ45" s="267"/>
      <c r="BA45" s="267"/>
      <c r="BB45" s="267"/>
      <c r="BC45" s="267"/>
      <c r="BD45" s="267"/>
      <c r="BE45" s="268"/>
      <c r="BF45" s="277" t="s">
        <v>208</v>
      </c>
      <c r="BG45" s="278"/>
      <c r="BH45" s="281" t="s">
        <v>211</v>
      </c>
      <c r="BI45" s="282"/>
      <c r="BJ45" s="282"/>
      <c r="BK45" s="282"/>
      <c r="BL45" s="282"/>
      <c r="BM45" s="283"/>
      <c r="BN45" s="284" t="s">
        <v>150</v>
      </c>
      <c r="BO45" s="285"/>
      <c r="BP45" s="285"/>
      <c r="BQ45" s="285"/>
      <c r="BR45" s="285"/>
      <c r="BS45" s="285"/>
      <c r="BT45" s="285"/>
      <c r="BU45" s="285"/>
      <c r="BV45" s="286"/>
      <c r="BY45" s="163"/>
      <c r="BZ45" s="266" t="s">
        <v>169</v>
      </c>
      <c r="CA45" s="267"/>
      <c r="CB45" s="267"/>
      <c r="CC45" s="267"/>
      <c r="CD45" s="267"/>
      <c r="CE45" s="267"/>
      <c r="CF45" s="268"/>
      <c r="CG45" s="277" t="s">
        <v>208</v>
      </c>
      <c r="CH45" s="278"/>
      <c r="CI45" s="281" t="s">
        <v>180</v>
      </c>
      <c r="CJ45" s="282"/>
      <c r="CK45" s="282"/>
      <c r="CL45" s="282"/>
      <c r="CM45" s="282"/>
      <c r="CN45" s="283"/>
      <c r="CO45" s="284" t="s">
        <v>150</v>
      </c>
      <c r="CP45" s="285"/>
      <c r="CQ45" s="285"/>
      <c r="CR45" s="285"/>
      <c r="CS45" s="285"/>
      <c r="CT45" s="285"/>
      <c r="CU45" s="285"/>
      <c r="CV45" s="285"/>
      <c r="CW45" s="286"/>
    </row>
    <row r="46" spans="3:104" x14ac:dyDescent="0.3">
      <c r="C46" s="202" t="s">
        <v>130</v>
      </c>
      <c r="D46" s="151">
        <v>1.6507000000000001</v>
      </c>
      <c r="E46" s="140">
        <v>0.25169999999999998</v>
      </c>
      <c r="F46" s="140">
        <v>65</v>
      </c>
      <c r="G46" s="151">
        <v>6.56</v>
      </c>
      <c r="H46" s="140" t="s">
        <v>11</v>
      </c>
      <c r="I46" s="140">
        <v>0.1</v>
      </c>
      <c r="J46" s="151">
        <v>1.2307999999999999</v>
      </c>
      <c r="K46" s="140">
        <v>2.0706000000000002</v>
      </c>
      <c r="L46" s="140">
        <v>5.2106000000000003</v>
      </c>
      <c r="M46" s="140">
        <v>3.4238</v>
      </c>
      <c r="N46" s="140">
        <v>7.9298000000000002</v>
      </c>
      <c r="O46" s="140"/>
      <c r="P46" s="144"/>
      <c r="Q46" s="162" t="str">
        <f>C46</f>
        <v>Mean Backs+Fwds reference</v>
      </c>
      <c r="R46" s="149">
        <f t="shared" ref="R46:R47" si="48">L46</f>
        <v>5.2106000000000003</v>
      </c>
      <c r="U46" s="161" t="str">
        <f>IF(ISBLANK(C45),"",C45)</f>
        <v>Backs/Fwds:</v>
      </c>
      <c r="V46" s="153"/>
      <c r="X46" s="147" t="s">
        <v>103</v>
      </c>
      <c r="Y46" s="147"/>
      <c r="Z46" s="144"/>
      <c r="AA46" s="144"/>
      <c r="AC46" s="200"/>
      <c r="AD46" s="197"/>
      <c r="AE46" s="150" t="s">
        <v>121</v>
      </c>
      <c r="AF46" s="150"/>
      <c r="AG46" s="199"/>
      <c r="AH46" s="199"/>
      <c r="AJ46" s="144"/>
      <c r="AK46" s="144"/>
      <c r="AL46" s="147" t="s">
        <v>102</v>
      </c>
      <c r="AM46" s="143"/>
      <c r="AN46" s="143"/>
      <c r="AO46" s="143"/>
      <c r="AP46" s="143" t="s">
        <v>75</v>
      </c>
      <c r="AR46" s="144"/>
      <c r="AS46" s="144"/>
      <c r="AT46" s="190" t="s">
        <v>193</v>
      </c>
      <c r="AU46" s="144"/>
      <c r="AV46" s="144"/>
      <c r="AW46" s="258" t="str">
        <f t="shared" ref="AW46" si="49">IF(ISBLANK(U46),"",U46)</f>
        <v>Backs/Fwds:</v>
      </c>
      <c r="AY46" s="269" t="s">
        <v>175</v>
      </c>
      <c r="AZ46" s="271" t="s">
        <v>152</v>
      </c>
      <c r="BA46" s="273" t="s">
        <v>153</v>
      </c>
      <c r="BB46" s="274"/>
      <c r="BC46" s="275"/>
      <c r="BD46" s="276" t="s">
        <v>154</v>
      </c>
      <c r="BE46" s="276"/>
      <c r="BF46" s="231" t="s">
        <v>171</v>
      </c>
      <c r="BG46" s="232" t="s">
        <v>172</v>
      </c>
      <c r="BH46" s="273" t="str">
        <f>"Effect &amp; re-estimated "&amp;BE48&amp;"% confidence limits"</f>
        <v>Effect &amp; re-estimated 90% confidence limits</v>
      </c>
      <c r="BI46" s="274"/>
      <c r="BJ46" s="274"/>
      <c r="BK46" s="275"/>
      <c r="BL46" s="277" t="s">
        <v>155</v>
      </c>
      <c r="BM46" s="278"/>
      <c r="BN46" s="287" t="e">
        <f>"...beneficial or
substantially "&amp;BF47</f>
        <v>#VALUE!</v>
      </c>
      <c r="BO46" s="288"/>
      <c r="BP46" s="289"/>
      <c r="BQ46" s="293" t="s">
        <v>156</v>
      </c>
      <c r="BR46" s="293"/>
      <c r="BS46" s="294"/>
      <c r="BT46" s="297" t="e">
        <f>"...harmful or 
substantially "&amp;BG47</f>
        <v>#VALUE!</v>
      </c>
      <c r="BU46" s="298"/>
      <c r="BV46" s="299"/>
      <c r="BW46" s="303" t="s">
        <v>157</v>
      </c>
      <c r="BY46" s="259" t="str">
        <f>IF(ISBLANK(U46),"",U46)</f>
        <v>Backs/Fwds:</v>
      </c>
      <c r="BZ46" s="269" t="s">
        <v>151</v>
      </c>
      <c r="CA46" s="271" t="s">
        <v>152</v>
      </c>
      <c r="CB46" s="273" t="s">
        <v>153</v>
      </c>
      <c r="CC46" s="274"/>
      <c r="CD46" s="275"/>
      <c r="CE46" s="276" t="s">
        <v>154</v>
      </c>
      <c r="CF46" s="276"/>
      <c r="CG46" s="231" t="s">
        <v>171</v>
      </c>
      <c r="CH46" s="232" t="s">
        <v>172</v>
      </c>
      <c r="CI46" s="273" t="str">
        <f>"Effect &amp; re-estimated "&amp;CF48&amp;"% confidence limits"</f>
        <v>Effect &amp; re-estimated 90% confidence limits</v>
      </c>
      <c r="CJ46" s="274"/>
      <c r="CK46" s="274"/>
      <c r="CL46" s="275"/>
      <c r="CM46" s="277" t="s">
        <v>155</v>
      </c>
      <c r="CN46" s="278"/>
      <c r="CO46" s="287" t="e">
        <f>"...beneficial or
substantially "&amp;CG47</f>
        <v>#VALUE!</v>
      </c>
      <c r="CP46" s="288"/>
      <c r="CQ46" s="289"/>
      <c r="CR46" s="293" t="s">
        <v>156</v>
      </c>
      <c r="CS46" s="293"/>
      <c r="CT46" s="294"/>
      <c r="CU46" s="297" t="e">
        <f>"...harmful or 
substantially "&amp;CH47</f>
        <v>#VALUE!</v>
      </c>
      <c r="CV46" s="298"/>
      <c r="CW46" s="299"/>
      <c r="CX46" s="303" t="s">
        <v>157</v>
      </c>
      <c r="CZ46" s="154" t="str">
        <f>IF(ISBLANK(U46),"",U46)</f>
        <v>Backs/Fwds:</v>
      </c>
    </row>
    <row r="47" spans="3:104" x14ac:dyDescent="0.3">
      <c r="C47" s="202" t="s">
        <v>131</v>
      </c>
      <c r="D47" s="151">
        <v>0</v>
      </c>
      <c r="E47" s="140" t="s">
        <v>64</v>
      </c>
      <c r="F47" s="140" t="s">
        <v>64</v>
      </c>
      <c r="G47" s="151" t="s">
        <v>64</v>
      </c>
      <c r="H47" s="140" t="s">
        <v>64</v>
      </c>
      <c r="I47" s="140" t="s">
        <v>64</v>
      </c>
      <c r="J47" s="151" t="s">
        <v>64</v>
      </c>
      <c r="K47" s="140" t="s">
        <v>64</v>
      </c>
      <c r="L47" s="140" t="s">
        <v>64</v>
      </c>
      <c r="M47" s="140" t="s">
        <v>64</v>
      </c>
      <c r="N47" s="140" t="s">
        <v>64</v>
      </c>
      <c r="O47" s="140"/>
      <c r="P47" s="144"/>
      <c r="Q47" s="162" t="str">
        <f>C47</f>
        <v>blank</v>
      </c>
      <c r="R47" s="149" t="str">
        <f t="shared" si="48"/>
        <v>.</v>
      </c>
      <c r="T47" s="176"/>
      <c r="U47" s="196"/>
      <c r="V47" s="191" t="s">
        <v>2</v>
      </c>
      <c r="W47" s="191" t="s">
        <v>12</v>
      </c>
      <c r="X47" s="191" t="s">
        <v>13</v>
      </c>
      <c r="Y47" s="206" t="s">
        <v>141</v>
      </c>
      <c r="Z47" s="191" t="s">
        <v>61</v>
      </c>
      <c r="AA47" s="191" t="s">
        <v>60</v>
      </c>
      <c r="AC47" s="201" t="s">
        <v>2</v>
      </c>
      <c r="AD47" s="201" t="s">
        <v>12</v>
      </c>
      <c r="AE47" s="201" t="s">
        <v>13</v>
      </c>
      <c r="AF47" s="191" t="s">
        <v>230</v>
      </c>
      <c r="AG47" s="201" t="s">
        <v>61</v>
      </c>
      <c r="AH47" s="201" t="s">
        <v>60</v>
      </c>
      <c r="AJ47" s="191" t="s">
        <v>2</v>
      </c>
      <c r="AK47" s="191" t="s">
        <v>12</v>
      </c>
      <c r="AL47" s="191" t="s">
        <v>13</v>
      </c>
      <c r="AM47" s="191" t="s">
        <v>61</v>
      </c>
      <c r="AN47" s="191" t="s">
        <v>60</v>
      </c>
      <c r="AO47" s="191"/>
      <c r="AP47" s="192" t="s">
        <v>83</v>
      </c>
      <c r="AR47" s="191" t="s">
        <v>2</v>
      </c>
      <c r="AS47" s="191" t="s">
        <v>12</v>
      </c>
      <c r="AT47" s="191" t="s">
        <v>13</v>
      </c>
      <c r="AU47" s="193" t="s">
        <v>61</v>
      </c>
      <c r="AV47" s="193" t="s">
        <v>60</v>
      </c>
      <c r="AY47" s="270"/>
      <c r="AZ47" s="272"/>
      <c r="BA47" s="213" t="s">
        <v>158</v>
      </c>
      <c r="BB47" s="214" t="s">
        <v>159</v>
      </c>
      <c r="BC47" s="219" t="s">
        <v>168</v>
      </c>
      <c r="BD47" s="215" t="s">
        <v>160</v>
      </c>
      <c r="BE47" s="216" t="s">
        <v>161</v>
      </c>
      <c r="BF47" s="217" t="e">
        <f>IF(BF48&lt;1,"decr.","incr.")</f>
        <v>#VALUE!</v>
      </c>
      <c r="BG47" s="218" t="e">
        <f>IF(BG48&gt;1,"incr.","decr.")</f>
        <v>#VALUE!</v>
      </c>
      <c r="BH47" s="212" t="s">
        <v>17</v>
      </c>
      <c r="BI47" s="216" t="s">
        <v>162</v>
      </c>
      <c r="BJ47" s="216" t="s">
        <v>163</v>
      </c>
      <c r="BK47" s="219" t="s">
        <v>168</v>
      </c>
      <c r="BL47" s="220" t="s">
        <v>164</v>
      </c>
      <c r="BM47" s="221" t="s">
        <v>165</v>
      </c>
      <c r="BN47" s="290"/>
      <c r="BO47" s="291"/>
      <c r="BP47" s="292"/>
      <c r="BQ47" s="295"/>
      <c r="BR47" s="295"/>
      <c r="BS47" s="296"/>
      <c r="BT47" s="300"/>
      <c r="BU47" s="301"/>
      <c r="BV47" s="302"/>
      <c r="BW47" s="304"/>
      <c r="BX47" s="223" t="s">
        <v>167</v>
      </c>
      <c r="BY47" s="163"/>
      <c r="BZ47" s="270"/>
      <c r="CA47" s="272"/>
      <c r="CB47" s="213" t="s">
        <v>158</v>
      </c>
      <c r="CC47" s="214" t="s">
        <v>159</v>
      </c>
      <c r="CD47" s="219" t="s">
        <v>138</v>
      </c>
      <c r="CE47" s="215" t="s">
        <v>160</v>
      </c>
      <c r="CF47" s="216" t="s">
        <v>161</v>
      </c>
      <c r="CG47" s="217" t="e">
        <f t="shared" ref="CG47" si="50">IF(CG48&lt;0,"decr.","incr.")</f>
        <v>#VALUE!</v>
      </c>
      <c r="CH47" s="218" t="e">
        <f t="shared" ref="CH47" si="51">IF(CH48&gt;0,"incr.","decr.")</f>
        <v>#VALUE!</v>
      </c>
      <c r="CI47" s="212" t="s">
        <v>17</v>
      </c>
      <c r="CJ47" s="216" t="s">
        <v>162</v>
      </c>
      <c r="CK47" s="216" t="s">
        <v>163</v>
      </c>
      <c r="CL47" s="219" t="s">
        <v>138</v>
      </c>
      <c r="CM47" s="220" t="s">
        <v>164</v>
      </c>
      <c r="CN47" s="221" t="s">
        <v>165</v>
      </c>
      <c r="CO47" s="290"/>
      <c r="CP47" s="291"/>
      <c r="CQ47" s="292"/>
      <c r="CR47" s="295"/>
      <c r="CS47" s="295"/>
      <c r="CT47" s="296"/>
      <c r="CU47" s="300"/>
      <c r="CV47" s="301"/>
      <c r="CW47" s="302"/>
      <c r="CX47" s="304"/>
      <c r="CY47" s="222" t="s">
        <v>167</v>
      </c>
    </row>
    <row r="48" spans="3:104" x14ac:dyDescent="0.3">
      <c r="C48" s="202" t="s">
        <v>81</v>
      </c>
      <c r="D48" s="151">
        <v>0.94240000000000002</v>
      </c>
      <c r="E48" s="140">
        <v>0.39600000000000002</v>
      </c>
      <c r="F48" s="140">
        <v>65</v>
      </c>
      <c r="G48" s="151">
        <v>2.38</v>
      </c>
      <c r="H48" s="140">
        <v>2.0299999999999999E-2</v>
      </c>
      <c r="I48" s="140">
        <v>0.1</v>
      </c>
      <c r="J48" s="151">
        <v>0.28160000000000002</v>
      </c>
      <c r="K48" s="140">
        <v>1.6032999999999999</v>
      </c>
      <c r="L48" s="140">
        <v>2.5661999999999998</v>
      </c>
      <c r="M48" s="140">
        <v>1.3251999999999999</v>
      </c>
      <c r="N48" s="140">
        <v>4.9691999999999998</v>
      </c>
      <c r="O48" s="140"/>
      <c r="U48" s="161" t="str">
        <f>C48</f>
        <v>MTPf +1SD/-1SD</v>
      </c>
      <c r="V48" s="180">
        <f>L48</f>
        <v>2.5661999999999998</v>
      </c>
      <c r="W48" s="180">
        <f>M48</f>
        <v>1.3251999999999999</v>
      </c>
      <c r="X48" s="180">
        <f>N48</f>
        <v>4.9691999999999998</v>
      </c>
      <c r="Y48" s="180">
        <f>SQRT(X48/W48)</f>
        <v>1.936433220918389</v>
      </c>
      <c r="Z48" s="143">
        <f>$V$26</f>
        <v>0.9</v>
      </c>
      <c r="AA48" s="143">
        <f>$V$27</f>
        <v>1.1111111111111112</v>
      </c>
      <c r="AC48" s="181">
        <f>100*V48-100</f>
        <v>156.62</v>
      </c>
      <c r="AD48" s="181">
        <f t="shared" ref="AD48:AE48" si="52">100*W48-100</f>
        <v>32.519999999999982</v>
      </c>
      <c r="AE48" s="181">
        <f t="shared" si="52"/>
        <v>396.91999999999996</v>
      </c>
      <c r="AF48" s="181">
        <f>(AE48-AD48)/2</f>
        <v>182.2</v>
      </c>
      <c r="AG48" s="150">
        <f t="shared" ref="AG48:AH48" si="53">100*Z48-100</f>
        <v>-10</v>
      </c>
      <c r="AH48" s="150">
        <f t="shared" si="53"/>
        <v>11.111111111111114</v>
      </c>
      <c r="AJ48" s="143">
        <f>D48</f>
        <v>0.94240000000000002</v>
      </c>
      <c r="AK48" s="143">
        <f>J48</f>
        <v>0.28160000000000002</v>
      </c>
      <c r="AL48" s="143">
        <f>K48</f>
        <v>1.6032999999999999</v>
      </c>
      <c r="AM48" s="143">
        <f>LN(Z48)</f>
        <v>-0.10536051565782628</v>
      </c>
      <c r="AN48" s="143">
        <f>LN(AA48)</f>
        <v>0.10536051565782635</v>
      </c>
      <c r="AO48" s="143"/>
      <c r="AP48" s="143">
        <f>SQRT($D$11+$D$13*100/$N$6/L46)</f>
        <v>0.6227090767366269</v>
      </c>
      <c r="AQ48" s="175"/>
      <c r="AR48" s="143">
        <f>AJ48/AP48</f>
        <v>1.5133872866262803</v>
      </c>
      <c r="AS48" s="143">
        <f>AK48/AP48</f>
        <v>0.45221759328730959</v>
      </c>
      <c r="AT48" s="143">
        <f>AL48/AP48</f>
        <v>2.574717568599231</v>
      </c>
      <c r="AU48" s="143">
        <f>$AR$26</f>
        <v>-0.2</v>
      </c>
      <c r="AV48" s="143">
        <f>$AR$27</f>
        <v>0.2</v>
      </c>
      <c r="AW48" s="204" t="str">
        <f t="shared" ref="AW48" si="54">U48</f>
        <v>MTPf +1SD/-1SD</v>
      </c>
      <c r="AY48" s="233">
        <f>V48</f>
        <v>2.5661999999999998</v>
      </c>
      <c r="AZ48" s="234">
        <f>F48</f>
        <v>65</v>
      </c>
      <c r="BA48" s="233">
        <f>W48</f>
        <v>1.3251999999999999</v>
      </c>
      <c r="BB48" s="233">
        <f>X48</f>
        <v>4.9691999999999998</v>
      </c>
      <c r="BC48" s="233">
        <f>SQRT(BB48/BA48)</f>
        <v>1.936433220918389</v>
      </c>
      <c r="BD48" s="235">
        <f>100*(1-I48)</f>
        <v>90</v>
      </c>
      <c r="BE48" s="228">
        <f>100-2*$BC$7</f>
        <v>90</v>
      </c>
      <c r="BF48" s="233" t="e">
        <f>$P$5*Z48+$Q$5*AA48</f>
        <v>#VALUE!</v>
      </c>
      <c r="BG48" s="233" t="e">
        <f>$Q$5*Z48+$P$5*AA48</f>
        <v>#VALUE!</v>
      </c>
      <c r="BH48" s="229">
        <f>AY48</f>
        <v>2.5661999999999998</v>
      </c>
      <c r="BI48" s="229">
        <f>EXP(LN(AY48)-TINV((100-BE48)/100,AZ48)*BX48)</f>
        <v>1.3252199829452072</v>
      </c>
      <c r="BJ48" s="229">
        <f>EXP(LN(AY48)+TINV((100-BE48)/100,AZ48)*BX48)</f>
        <v>4.9692749315207685</v>
      </c>
      <c r="BK48" s="229">
        <f>SQRT(BJ48/BI48)</f>
        <v>1.9364332209183888</v>
      </c>
      <c r="BL48" s="243" t="e">
        <f>IF(BN48&lt;$BE$7,IF(MAX(BQ48,BT48)=BQ48,BS48&amp;" trivial; don't use",BV48&amp;" harmful; don't use"),IF(BT48&lt;$BA$7,BP48&amp;" beneficial; use","unclear; don't use"))</f>
        <v>#VALUE!</v>
      </c>
      <c r="BM48" s="243" t="e">
        <f>IF(MIN(BN48,BT48)&gt;$BC$7,"unclear",IF(MAX(BN48,BQ48,BT48)=BN48,BP48&amp;" "&amp;BF47,IF(MAX(BN48,BQ48,BT48)=BQ48,BS48&amp;" trivial",BV48&amp;" "&amp;BG47)))</f>
        <v>#VALUE!</v>
      </c>
      <c r="BN48" s="224" t="e">
        <f>100*IF(LN(BF48)&gt;0,IF(LN(AY48)-LN(BF48)&gt;0,1-TDIST((LN(AY48)-LN(BF48))/BX48,AZ48,1),TDIST((LN(BF48)-LN(AY48))/BX48,AZ48,1)),IF(LN(AY48)-LN(BF48)&gt;0,TDIST((LN(AY48)-LN(BF48))/BX48,AZ48,1),1-TDIST((LN(BF48)-LN(AY48))/BX48,AZ48,1)))</f>
        <v>#VALUE!</v>
      </c>
      <c r="BO48" s="225" t="s">
        <v>166</v>
      </c>
      <c r="BP48" s="226" t="e">
        <f>IF(BN48&lt;$BA$7,$AZ$7,IF(BN48&lt;$BC$7,$BB$7,IF(BN48&lt;$BE$7,$BD$7,IF(BN48&lt;$BG$7,$BF$7,IF(BN48&lt;$BI$7,$BH$7,IF(BN48&lt;$BK$7,$BJ$7,$BL$7))))))</f>
        <v>#VALUE!</v>
      </c>
      <c r="BQ48" s="227" t="e">
        <f>100-BN48-BT48</f>
        <v>#VALUE!</v>
      </c>
      <c r="BR48" s="225" t="s">
        <v>166</v>
      </c>
      <c r="BS48" s="226" t="e">
        <f>IF(BQ48&lt;$BA$7,$AZ$7,IF(BQ48&lt;$BC$7,$BB$7,IF(BQ48&lt;$BE$7,$BD$7,IF(BQ48&lt;$BG$7,$BF$7,IF(BQ48&lt;$BI$7,$BH$7,IF(BQ48&lt;$BK$7,$BJ$7,$BL$7))))))</f>
        <v>#VALUE!</v>
      </c>
      <c r="BT48" s="224" t="e">
        <f>100*IF(LN(BG48)&gt;0,IF(LN(AY48)-LN(BG48)&gt;0,1-TDIST((LN(AY48)-LN(BG48))/BX48,AZ48,1),TDIST((LN(BG48)-LN(AY48))/BX48,AZ48,1)),IF(LN(AY48)-LN(BG48)&gt;0,TDIST((LN(AY48)-LN(BG48))/BX48,AZ48,1),1-TDIST((LN(BG48)-LN(AY48))/BX48,AZ48,1)))</f>
        <v>#VALUE!</v>
      </c>
      <c r="BU48" s="225" t="s">
        <v>166</v>
      </c>
      <c r="BV48" s="226" t="e">
        <f>IF(BT48&lt;$BA$7,$AZ$7,IF(BT48&lt;$BC$7,$BB$7,IF(BT48&lt;$BE$7,$BD$7,IF(BT48&lt;$BG$7,$BF$7,IF(BT48&lt;$BI$7,$BH$7,IF(BT48&lt;$BK$7,$BJ$7,$BL$7))))))</f>
        <v>#VALUE!</v>
      </c>
      <c r="BW48" s="240" t="e">
        <f>BN48/(100-BN48)/(BT48/(100-BT48))</f>
        <v>#VALUE!</v>
      </c>
      <c r="BX48" s="230">
        <f>(LN(BB48)-LN(BA48))/2/TINV(1-BD48/100,AZ48)</f>
        <v>0.39604068503990203</v>
      </c>
      <c r="BY48" s="160" t="str">
        <f t="shared" ref="BY48" si="55">U48</f>
        <v>MTPf +1SD/-1SD</v>
      </c>
      <c r="BZ48" s="236">
        <f>AR48</f>
        <v>1.5133872866262803</v>
      </c>
      <c r="CA48" s="234">
        <f>F48</f>
        <v>65</v>
      </c>
      <c r="CB48" s="236">
        <f>AS48</f>
        <v>0.45221759328730959</v>
      </c>
      <c r="CC48" s="236">
        <f>AT48</f>
        <v>2.574717568599231</v>
      </c>
      <c r="CD48" s="236">
        <f>(CC48-CB48)/2</f>
        <v>1.0612499876559607</v>
      </c>
      <c r="CE48" s="234">
        <f>100*(1-I48)</f>
        <v>90</v>
      </c>
      <c r="CF48" s="228">
        <f>100-2*$BC$7</f>
        <v>90</v>
      </c>
      <c r="CG48" s="233" t="e">
        <f t="shared" ref="CG48" si="56">$P$5*AU48+$Q$5*AV48</f>
        <v>#VALUE!</v>
      </c>
      <c r="CH48" s="233" t="e">
        <f t="shared" ref="CH48" si="57">$Q$5*AU48+$P$5*AV48</f>
        <v>#VALUE!</v>
      </c>
      <c r="CI48" s="242">
        <f>BZ48</f>
        <v>1.5133872866262803</v>
      </c>
      <c r="CJ48" s="242">
        <f>BZ48-TINV((100-CF48)/100,CA48)*CY48</f>
        <v>0.45213729897031962</v>
      </c>
      <c r="CK48" s="242">
        <f>BZ48+TINV((100-CF48)/100,CA48)*CY48</f>
        <v>2.574637274282241</v>
      </c>
      <c r="CL48" s="242">
        <f>(CK48-CJ48)/2</f>
        <v>1.0612499876559607</v>
      </c>
      <c r="CM48" s="243" t="e">
        <f>IF(CO48&lt;$BE$7,IF(MAX(CR48,CU48)=CR48,CT48&amp;" trivial; don't use",CW48&amp;" harmful; don't use"),IF(CU48&lt;$BA$7,CQ48&amp;" beneficial; use","unclear; don't use"))</f>
        <v>#VALUE!</v>
      </c>
      <c r="CN48" s="243" t="e">
        <f>IF(MIN(CO48,CU48)&gt;$BC$7,"unclear",IF(MAX(CO48,CR48,CU48)=CO48,CQ48&amp;" "&amp;CG47,IF(MAX(CO48,CR48,CU48)=CR48,CT48&amp;" trivial",CW48&amp;" "&amp;CH47)))</f>
        <v>#VALUE!</v>
      </c>
      <c r="CO48" s="237" t="e">
        <f>100*IF(CG48&gt;0,IF(BZ48-CG48&gt;0,1-TDIST((BZ48-CG48)/CY48,CA48,1),TDIST((CG48-BZ48)/CY48,CA48,1)),IF(BZ48-CG48&gt;0,TDIST((BZ48-CG48)/CY48,CA48,1),1-TDIST((CG48-BZ48)/CY48,CA48,1)))</f>
        <v>#VALUE!</v>
      </c>
      <c r="CP48" s="238" t="s">
        <v>166</v>
      </c>
      <c r="CQ48" s="226" t="e">
        <f>IF(CO48&lt;$BA$7,$AZ$7,IF(CO48&lt;$BC$7,$BB$7,IF(CO48&lt;$BE$7,$BD$7,IF(CO48&lt;$BG$7,$BF$7,IF(CO48&lt;$BI$7,$BH$7,IF(CO48&lt;$BK$7,$BJ$7,$BL$7))))))</f>
        <v>#VALUE!</v>
      </c>
      <c r="CR48" s="239" t="e">
        <f>100-CO48-CU48</f>
        <v>#VALUE!</v>
      </c>
      <c r="CS48" s="238" t="s">
        <v>166</v>
      </c>
      <c r="CT48" s="226" t="e">
        <f>IF(CR48&lt;$BA$7,$AZ$7,IF(CR48&lt;$BC$7,$BB$7,IF(CR48&lt;$BE$7,$BD$7,IF(CR48&lt;$BG$7,$BF$7,IF(CR48&lt;$BI$7,$BH$7,IF(CR48&lt;$BK$7,$BJ$7,$BL$7))))))</f>
        <v>#VALUE!</v>
      </c>
      <c r="CU48" s="237" t="e">
        <f>100*IF(CH48&gt;0,IF(BZ48-CH48&gt;0,1-TDIST((BZ48-CH48)/CY48,CA48,1),TDIST((CH48-BZ48)/CY48,CA48,1)),IF(BZ48-CH48&gt;0,TDIST((BZ48-CH48)/CY48,CA48,1),1-TDIST((CH48-BZ48)/CY48,CA48,1)))</f>
        <v>#VALUE!</v>
      </c>
      <c r="CV48" s="238" t="s">
        <v>166</v>
      </c>
      <c r="CW48" s="226" t="e">
        <f>IF(CU48&lt;$BA$7,$AZ$7,IF(CU48&lt;$BC$7,$BB$7,IF(CU48&lt;$BE$7,$BD$7,IF(CU48&lt;$BG$7,$BF$7,IF(CU48&lt;$BI$7,$BH$7,IF(CU48&lt;$BK$7,$BJ$7,$BL$7))))))</f>
        <v>#VALUE!</v>
      </c>
      <c r="CX48" s="240" t="e">
        <f>CO48/(100-CO48)/(CU48/(100-CU48))</f>
        <v>#VALUE!</v>
      </c>
      <c r="CY48" s="230">
        <f>(CC48-CB48)/2/TINV(1-CE48/100,CA48)</f>
        <v>0.6359985059754677</v>
      </c>
      <c r="CZ48" s="258" t="str">
        <f t="shared" ref="CZ48" si="58">U48</f>
        <v>MTPf +1SD/-1SD</v>
      </c>
    </row>
    <row r="49" spans="2:48" x14ac:dyDescent="0.3">
      <c r="C49" s="177" t="s">
        <v>252</v>
      </c>
      <c r="D49" s="151"/>
      <c r="E49" s="140"/>
      <c r="F49" s="140"/>
      <c r="G49" s="151"/>
      <c r="H49" s="140"/>
      <c r="I49" s="140"/>
      <c r="J49" s="151"/>
      <c r="K49" s="140"/>
      <c r="L49" s="140"/>
      <c r="M49" s="140"/>
      <c r="N49" s="140"/>
      <c r="O49" s="140"/>
      <c r="T49" s="173"/>
      <c r="V49" s="143"/>
      <c r="W49" s="143"/>
      <c r="X49" s="143"/>
      <c r="Y49" s="143"/>
      <c r="Z49" s="170"/>
      <c r="AA49" s="172"/>
      <c r="AC49" s="143"/>
      <c r="AD49" s="143"/>
      <c r="AE49" s="143"/>
      <c r="AF49" s="143"/>
      <c r="AG49" s="170"/>
      <c r="AH49" s="172"/>
      <c r="AJ49" s="153"/>
      <c r="AK49" s="153"/>
      <c r="AL49" s="153"/>
      <c r="AM49" s="169"/>
      <c r="AN49" s="169"/>
      <c r="AO49" s="169"/>
      <c r="AP49" s="169"/>
      <c r="AQ49" s="175"/>
      <c r="AR49" s="169"/>
      <c r="AS49" s="169"/>
      <c r="AT49" s="169"/>
      <c r="AU49" s="170"/>
      <c r="AV49" s="172"/>
    </row>
    <row r="50" spans="2:48" x14ac:dyDescent="0.3">
      <c r="C50" s="177" t="s">
        <v>257</v>
      </c>
      <c r="D50" s="151"/>
      <c r="E50" s="140"/>
      <c r="F50" s="140"/>
      <c r="G50" s="151"/>
      <c r="H50" s="140"/>
      <c r="I50" s="140"/>
      <c r="J50" s="151"/>
      <c r="K50" s="140"/>
      <c r="L50" s="140"/>
      <c r="M50" s="140"/>
      <c r="N50" s="140"/>
      <c r="O50" s="140"/>
      <c r="T50" s="173"/>
      <c r="V50" s="143"/>
      <c r="W50" s="143"/>
      <c r="X50" s="143"/>
      <c r="Y50" s="143"/>
      <c r="Z50" s="170"/>
      <c r="AA50" s="172"/>
      <c r="AC50" s="143"/>
      <c r="AD50" s="143"/>
      <c r="AE50" s="143"/>
      <c r="AF50" s="143"/>
      <c r="AG50" s="170"/>
      <c r="AH50" s="172"/>
      <c r="AJ50" s="153"/>
      <c r="AK50" s="153"/>
      <c r="AL50" s="153"/>
      <c r="AM50" s="169"/>
      <c r="AN50" s="169"/>
      <c r="AO50" s="169"/>
      <c r="AP50" s="169"/>
      <c r="AQ50" s="175"/>
      <c r="AR50" s="169"/>
      <c r="AS50" s="169"/>
      <c r="AT50" s="169"/>
      <c r="AU50" s="170"/>
      <c r="AV50" s="172"/>
    </row>
    <row r="52" spans="2:48" x14ac:dyDescent="0.3">
      <c r="F52" s="152" t="s">
        <v>89</v>
      </c>
    </row>
    <row r="53" spans="2:48" x14ac:dyDescent="0.3">
      <c r="F53" s="152" t="s">
        <v>254</v>
      </c>
      <c r="J53" s="141"/>
      <c r="K53" s="140"/>
      <c r="L53" s="140"/>
      <c r="M53" s="140"/>
    </row>
    <row r="54" spans="2:48" x14ac:dyDescent="0.3">
      <c r="F54" s="144" t="s">
        <v>122</v>
      </c>
      <c r="J54" s="141"/>
      <c r="K54" s="140"/>
      <c r="L54" s="140"/>
      <c r="M54" s="140"/>
    </row>
    <row r="55" spans="2:48" x14ac:dyDescent="0.3">
      <c r="F55" s="152"/>
      <c r="J55" s="141"/>
      <c r="K55" s="162" t="s">
        <v>77</v>
      </c>
      <c r="L55" s="143">
        <f>D11</f>
        <v>6.8360000000000004E-2</v>
      </c>
      <c r="M55" s="144" t="s">
        <v>78</v>
      </c>
    </row>
    <row r="56" spans="2:48" x14ac:dyDescent="0.3">
      <c r="K56" s="162" t="s">
        <v>76</v>
      </c>
      <c r="L56" s="143">
        <f>D13</f>
        <v>1.6642999999999999</v>
      </c>
      <c r="M56" s="144" t="s">
        <v>79</v>
      </c>
    </row>
    <row r="57" spans="2:48" x14ac:dyDescent="0.3">
      <c r="K57" s="161" t="s">
        <v>98</v>
      </c>
      <c r="L57" s="182">
        <f>L28*$N$6/100</f>
        <v>6.9603000000000002</v>
      </c>
      <c r="M57" s="144" t="s">
        <v>247</v>
      </c>
    </row>
    <row r="58" spans="2:48" x14ac:dyDescent="0.3">
      <c r="I58" s="152"/>
      <c r="J58" s="141"/>
      <c r="K58" s="162" t="s">
        <v>74</v>
      </c>
      <c r="L58" s="143">
        <f>L56*(1/L17)*100/$N$6</f>
        <v>0.272507474609268</v>
      </c>
      <c r="M58" s="254" t="s">
        <v>242</v>
      </c>
    </row>
    <row r="59" spans="2:48" ht="15.65" customHeight="1" x14ac:dyDescent="0.3">
      <c r="I59" s="158"/>
      <c r="K59" s="162" t="s">
        <v>99</v>
      </c>
      <c r="L59" s="143">
        <f>SQRT(L55+L58)</f>
        <v>0.58383856896343189</v>
      </c>
      <c r="M59" s="254" t="s">
        <v>244</v>
      </c>
    </row>
    <row r="60" spans="2:48" ht="14.4" customHeight="1" x14ac:dyDescent="0.3">
      <c r="I60" s="158"/>
      <c r="K60" s="161" t="s">
        <v>100</v>
      </c>
      <c r="L60" s="180">
        <f>EXP(L59)</f>
        <v>1.7929074375817204</v>
      </c>
      <c r="M60" s="144" t="s">
        <v>101</v>
      </c>
    </row>
    <row r="61" spans="2:48" x14ac:dyDescent="0.3">
      <c r="I61" s="158"/>
      <c r="K61" s="161" t="s">
        <v>63</v>
      </c>
      <c r="L61" s="181">
        <f>100*L60-100</f>
        <v>79.290743758172056</v>
      </c>
      <c r="M61" s="144" t="s">
        <v>240</v>
      </c>
    </row>
    <row r="62" spans="2:48" ht="14.4" customHeight="1" x14ac:dyDescent="0.3"/>
    <row r="63" spans="2:48" x14ac:dyDescent="0.3">
      <c r="B63" s="152" t="s">
        <v>93</v>
      </c>
      <c r="C63" s="142"/>
      <c r="D63" s="143"/>
      <c r="H63" s="143"/>
      <c r="I63" s="143"/>
      <c r="K63" s="142"/>
      <c r="L63" s="142"/>
      <c r="M63" s="143"/>
      <c r="N63" s="143"/>
      <c r="O63" s="143"/>
    </row>
    <row r="64" spans="2:48" x14ac:dyDescent="0.3">
      <c r="B64" s="177" t="s">
        <v>94</v>
      </c>
      <c r="C64" s="142"/>
      <c r="D64" s="143"/>
      <c r="H64" s="143"/>
      <c r="I64" s="143"/>
      <c r="K64" s="142"/>
      <c r="L64" s="142"/>
      <c r="M64" s="146" t="s">
        <v>88</v>
      </c>
      <c r="N64" s="143"/>
      <c r="O64" s="143"/>
      <c r="Q64" s="146" t="s">
        <v>88</v>
      </c>
      <c r="R64" s="143"/>
    </row>
    <row r="65" spans="2:18" x14ac:dyDescent="0.3">
      <c r="B65" s="265" t="s">
        <v>16</v>
      </c>
      <c r="C65" s="265"/>
      <c r="D65" s="265"/>
      <c r="E65" s="265"/>
      <c r="F65" s="265"/>
      <c r="G65" s="265"/>
      <c r="H65" s="265"/>
      <c r="I65" s="265"/>
      <c r="J65" s="265"/>
      <c r="K65" s="265"/>
      <c r="L65" s="144"/>
      <c r="M65" s="147" t="s">
        <v>116</v>
      </c>
      <c r="N65" s="144"/>
      <c r="O65" s="144"/>
      <c r="Q65" s="147" t="s">
        <v>117</v>
      </c>
      <c r="R65" s="144"/>
    </row>
    <row r="66" spans="2:18" ht="30.05" x14ac:dyDescent="0.3">
      <c r="B66" s="141" t="s">
        <v>17</v>
      </c>
      <c r="C66" s="141" t="s">
        <v>1</v>
      </c>
      <c r="D66" s="141" t="s">
        <v>2</v>
      </c>
      <c r="E66" s="141" t="s">
        <v>18</v>
      </c>
      <c r="F66" s="141" t="s">
        <v>19</v>
      </c>
      <c r="G66" s="141" t="s">
        <v>20</v>
      </c>
      <c r="H66" s="141" t="s">
        <v>21</v>
      </c>
      <c r="I66" s="141" t="s">
        <v>22</v>
      </c>
      <c r="J66" s="141" t="s">
        <v>12</v>
      </c>
      <c r="K66" s="141" t="s">
        <v>13</v>
      </c>
      <c r="L66" s="142" t="s">
        <v>2</v>
      </c>
      <c r="M66" s="142" t="s">
        <v>12</v>
      </c>
      <c r="N66" s="142" t="s">
        <v>13</v>
      </c>
      <c r="O66" s="142"/>
      <c r="P66" s="142" t="s">
        <v>2</v>
      </c>
      <c r="Q66" s="142" t="s">
        <v>12</v>
      </c>
      <c r="R66" s="152" t="s">
        <v>13</v>
      </c>
    </row>
    <row r="67" spans="2:18" x14ac:dyDescent="0.3">
      <c r="B67" s="141" t="s">
        <v>7</v>
      </c>
      <c r="C67" s="141" t="s">
        <v>46</v>
      </c>
      <c r="D67" s="151">
        <v>-7.3609999999999995E-2</v>
      </c>
      <c r="E67" s="140">
        <v>0.2203</v>
      </c>
      <c r="F67" s="140">
        <v>65</v>
      </c>
      <c r="G67" s="151">
        <v>-0.33</v>
      </c>
      <c r="H67" s="140">
        <v>0.73929999999999996</v>
      </c>
      <c r="I67" s="140">
        <v>0.1</v>
      </c>
      <c r="J67" s="151">
        <v>-0.44119999999999998</v>
      </c>
      <c r="K67" s="140">
        <v>0.29399999999999998</v>
      </c>
      <c r="L67" s="181">
        <f>100*_xlfn.T.DIST(D67/$D$17,$F67,1)</f>
        <v>38.959638189086483</v>
      </c>
      <c r="M67" s="150">
        <f t="shared" ref="M67:N80" si="59">100*_xlfn.T.DIST(J67/$D$17,$F67,1)</f>
        <v>4.8153867465005344</v>
      </c>
      <c r="N67" s="150">
        <f t="shared" si="59"/>
        <v>86.752457255262385</v>
      </c>
      <c r="O67" s="150"/>
      <c r="P67" s="181">
        <f>100*_xlfn.T.DIST(D67/$L$59,$F67,1)</f>
        <v>45.002913656358444</v>
      </c>
      <c r="Q67" s="150">
        <f t="shared" ref="Q67:R80" si="60">100*_xlfn.T.DIST(J67/$L$59,$F67,1)</f>
        <v>22.628297985241673</v>
      </c>
      <c r="R67" s="150">
        <f t="shared" si="60"/>
        <v>69.186485875210835</v>
      </c>
    </row>
    <row r="68" spans="2:18" x14ac:dyDescent="0.3">
      <c r="B68" s="141" t="s">
        <v>7</v>
      </c>
      <c r="C68" s="141" t="s">
        <v>23</v>
      </c>
      <c r="D68" s="151">
        <v>-2.0719999999999999E-2</v>
      </c>
      <c r="E68" s="140">
        <v>0.24179999999999999</v>
      </c>
      <c r="F68" s="140">
        <v>65</v>
      </c>
      <c r="G68" s="151">
        <v>-0.09</v>
      </c>
      <c r="H68" s="140">
        <v>0.93200000000000005</v>
      </c>
      <c r="I68" s="140">
        <v>0.1</v>
      </c>
      <c r="J68" s="151">
        <v>-0.42420000000000002</v>
      </c>
      <c r="K68" s="140">
        <v>0.38269999999999998</v>
      </c>
      <c r="L68" s="181">
        <f t="shared" ref="L68:L80" si="61">100*_xlfn.T.DIST(D68/$D$17,$F68,1)</f>
        <v>46.853939078818172</v>
      </c>
      <c r="M68" s="150">
        <f t="shared" si="59"/>
        <v>5.4774600764356407</v>
      </c>
      <c r="N68" s="150">
        <f t="shared" si="59"/>
        <v>92.595476653833416</v>
      </c>
      <c r="O68" s="150"/>
      <c r="P68" s="181">
        <f t="shared" ref="P68:P80" si="62">100*_xlfn.T.DIST(D68/$L$59,$F68,1)</f>
        <v>48.589918616198368</v>
      </c>
      <c r="Q68" s="150">
        <f t="shared" si="60"/>
        <v>23.504874882440102</v>
      </c>
      <c r="R68" s="150">
        <f t="shared" si="60"/>
        <v>74.276696200378552</v>
      </c>
    </row>
    <row r="69" spans="2:18" x14ac:dyDescent="0.3">
      <c r="B69" s="141" t="s">
        <v>7</v>
      </c>
      <c r="C69" s="141" t="s">
        <v>47</v>
      </c>
      <c r="D69" s="140">
        <v>0.1033</v>
      </c>
      <c r="E69" s="140">
        <v>0.22170000000000001</v>
      </c>
      <c r="F69" s="140">
        <v>65</v>
      </c>
      <c r="G69" s="140">
        <v>0.47</v>
      </c>
      <c r="H69" s="140">
        <v>0.64300000000000002</v>
      </c>
      <c r="I69" s="140">
        <v>0.1</v>
      </c>
      <c r="J69" s="151">
        <v>-0.26679999999999998</v>
      </c>
      <c r="K69" s="140">
        <v>0.4733</v>
      </c>
      <c r="L69" s="181">
        <f t="shared" si="61"/>
        <v>65.296605802834947</v>
      </c>
      <c r="M69" s="150">
        <f t="shared" si="59"/>
        <v>15.565293651047776</v>
      </c>
      <c r="N69" s="150">
        <f t="shared" si="59"/>
        <v>96.255920431450065</v>
      </c>
      <c r="O69" s="150"/>
      <c r="P69" s="181">
        <f t="shared" si="62"/>
        <v>56.99442004740294</v>
      </c>
      <c r="Q69" s="150">
        <f t="shared" si="60"/>
        <v>32.460607389764867</v>
      </c>
      <c r="R69" s="150">
        <f t="shared" si="60"/>
        <v>78.974303654618438</v>
      </c>
    </row>
    <row r="70" spans="2:18" x14ac:dyDescent="0.3">
      <c r="B70" s="141" t="s">
        <v>7</v>
      </c>
      <c r="C70" s="141" t="s">
        <v>24</v>
      </c>
      <c r="D70" s="151">
        <v>-0.25230000000000002</v>
      </c>
      <c r="E70" s="140">
        <v>0.16919999999999999</v>
      </c>
      <c r="F70" s="140">
        <v>65</v>
      </c>
      <c r="G70" s="151">
        <v>-1.49</v>
      </c>
      <c r="H70" s="140">
        <v>0.14069999999999999</v>
      </c>
      <c r="I70" s="140">
        <v>0.1</v>
      </c>
      <c r="J70" s="151">
        <v>-0.53459999999999996</v>
      </c>
      <c r="K70" s="140">
        <v>2.9960000000000001E-2</v>
      </c>
      <c r="L70" s="181">
        <f t="shared" si="61"/>
        <v>16.906685524306486</v>
      </c>
      <c r="M70" s="150">
        <f t="shared" si="59"/>
        <v>2.2469473899863162</v>
      </c>
      <c r="N70" s="150">
        <f t="shared" si="59"/>
        <v>54.543770904659837</v>
      </c>
      <c r="O70" s="150"/>
      <c r="P70" s="181">
        <f t="shared" si="62"/>
        <v>33.353494860547507</v>
      </c>
      <c r="Q70" s="150">
        <f t="shared" si="60"/>
        <v>18.161387694379862</v>
      </c>
      <c r="R70" s="150">
        <f t="shared" si="60"/>
        <v>52.038427626749161</v>
      </c>
    </row>
    <row r="71" spans="2:18" x14ac:dyDescent="0.3">
      <c r="B71" s="141" t="s">
        <v>7</v>
      </c>
      <c r="C71" s="141" t="s">
        <v>25</v>
      </c>
      <c r="D71" s="140">
        <v>0.23719999999999999</v>
      </c>
      <c r="E71" s="140">
        <v>0.20119999999999999</v>
      </c>
      <c r="F71" s="140">
        <v>65</v>
      </c>
      <c r="G71" s="140">
        <v>1.18</v>
      </c>
      <c r="H71" s="140">
        <v>0.24279999999999999</v>
      </c>
      <c r="I71" s="140">
        <v>0.1</v>
      </c>
      <c r="J71" s="151">
        <v>-9.8570000000000005E-2</v>
      </c>
      <c r="K71" s="140">
        <v>0.57289999999999996</v>
      </c>
      <c r="L71" s="181">
        <f t="shared" si="61"/>
        <v>81.617977321983602</v>
      </c>
      <c r="M71" s="150">
        <f t="shared" si="59"/>
        <v>35.370005257989476</v>
      </c>
      <c r="N71" s="150">
        <f t="shared" si="59"/>
        <v>98.398539176795794</v>
      </c>
      <c r="O71" s="150"/>
      <c r="P71" s="181">
        <f t="shared" si="62"/>
        <v>65.706308669799029</v>
      </c>
      <c r="Q71" s="150">
        <f t="shared" si="60"/>
        <v>43.322696213752508</v>
      </c>
      <c r="R71" s="150">
        <f t="shared" si="60"/>
        <v>83.494964276890315</v>
      </c>
    </row>
    <row r="72" spans="2:18" x14ac:dyDescent="0.3">
      <c r="B72" s="141" t="s">
        <v>7</v>
      </c>
      <c r="C72" s="141" t="s">
        <v>26</v>
      </c>
      <c r="D72" s="140">
        <v>0.2888</v>
      </c>
      <c r="E72" s="140">
        <v>0.15060000000000001</v>
      </c>
      <c r="F72" s="140">
        <v>65</v>
      </c>
      <c r="G72" s="140">
        <v>1.92</v>
      </c>
      <c r="H72" s="140">
        <v>5.9499999999999997E-2</v>
      </c>
      <c r="I72" s="140">
        <v>0.1</v>
      </c>
      <c r="J72" s="140">
        <v>3.7539999999999997E-2</v>
      </c>
      <c r="K72" s="140">
        <v>0.54010000000000002</v>
      </c>
      <c r="L72" s="181">
        <f t="shared" si="61"/>
        <v>86.329255842018185</v>
      </c>
      <c r="M72" s="150">
        <f t="shared" si="59"/>
        <v>55.686173870092972</v>
      </c>
      <c r="N72" s="150">
        <f t="shared" si="59"/>
        <v>97.857745820739552</v>
      </c>
      <c r="O72" s="150"/>
      <c r="P72" s="181">
        <f t="shared" si="62"/>
        <v>68.874504849621559</v>
      </c>
      <c r="Q72" s="150">
        <f t="shared" si="60"/>
        <v>52.553509575186609</v>
      </c>
      <c r="R72" s="150">
        <f t="shared" si="60"/>
        <v>82.082810888068749</v>
      </c>
    </row>
    <row r="73" spans="2:18" x14ac:dyDescent="0.3">
      <c r="B73" s="141" t="s">
        <v>7</v>
      </c>
      <c r="C73" s="141" t="s">
        <v>27</v>
      </c>
      <c r="D73" s="151">
        <v>-0.24679999999999999</v>
      </c>
      <c r="E73" s="140">
        <v>0.1736</v>
      </c>
      <c r="F73" s="140">
        <v>65</v>
      </c>
      <c r="G73" s="151">
        <v>-1.42</v>
      </c>
      <c r="H73" s="140">
        <v>0.1598</v>
      </c>
      <c r="I73" s="140">
        <v>0.1</v>
      </c>
      <c r="J73" s="151">
        <v>-0.53639999999999999</v>
      </c>
      <c r="K73" s="140">
        <v>4.2799999999999998E-2</v>
      </c>
      <c r="L73" s="181">
        <f t="shared" si="61"/>
        <v>17.43480648050944</v>
      </c>
      <c r="M73" s="150">
        <f t="shared" si="59"/>
        <v>2.2122082417318514</v>
      </c>
      <c r="N73" s="150">
        <f t="shared" si="59"/>
        <v>56.476149311313485</v>
      </c>
      <c r="O73" s="150"/>
      <c r="P73" s="181">
        <f t="shared" si="62"/>
        <v>33.694752627689624</v>
      </c>
      <c r="Q73" s="150">
        <f t="shared" si="60"/>
        <v>18.081234559868271</v>
      </c>
      <c r="R73" s="150">
        <f t="shared" si="60"/>
        <v>52.910689893034871</v>
      </c>
    </row>
    <row r="74" spans="2:18" x14ac:dyDescent="0.3">
      <c r="B74" s="141" t="s">
        <v>7</v>
      </c>
      <c r="C74" s="141" t="s">
        <v>48</v>
      </c>
      <c r="D74" s="140">
        <v>0.1016</v>
      </c>
      <c r="E74" s="140">
        <v>0.25459999999999999</v>
      </c>
      <c r="F74" s="140">
        <v>65</v>
      </c>
      <c r="G74" s="140">
        <v>0.4</v>
      </c>
      <c r="H74" s="140">
        <v>0.69120000000000004</v>
      </c>
      <c r="I74" s="140">
        <v>0.1</v>
      </c>
      <c r="J74" s="151">
        <v>-0.32319999999999999</v>
      </c>
      <c r="K74" s="140">
        <v>0.52639999999999998</v>
      </c>
      <c r="L74" s="181">
        <f t="shared" si="61"/>
        <v>65.057564369497015</v>
      </c>
      <c r="M74" s="150">
        <f t="shared" si="59"/>
        <v>11.042608978052595</v>
      </c>
      <c r="N74" s="150">
        <f t="shared" si="59"/>
        <v>97.588778904568116</v>
      </c>
      <c r="O74" s="150"/>
      <c r="P74" s="181">
        <f t="shared" si="62"/>
        <v>56.880497918467476</v>
      </c>
      <c r="Q74" s="150">
        <f t="shared" si="60"/>
        <v>29.088359918643402</v>
      </c>
      <c r="R74" s="150">
        <f t="shared" si="60"/>
        <v>81.470597421689476</v>
      </c>
    </row>
    <row r="75" spans="2:18" x14ac:dyDescent="0.3">
      <c r="B75" s="141" t="s">
        <v>7</v>
      </c>
      <c r="C75" s="141" t="s">
        <v>49</v>
      </c>
      <c r="D75" s="140">
        <v>3.1109999999999999E-2</v>
      </c>
      <c r="E75" s="140">
        <v>0.24399999999999999</v>
      </c>
      <c r="F75" s="140">
        <v>65</v>
      </c>
      <c r="G75" s="140">
        <v>0.13</v>
      </c>
      <c r="H75" s="140">
        <v>0.89900000000000002</v>
      </c>
      <c r="I75" s="140">
        <v>0.1</v>
      </c>
      <c r="J75" s="151">
        <v>-0.37609999999999999</v>
      </c>
      <c r="K75" s="140">
        <v>0.43830000000000002</v>
      </c>
      <c r="L75" s="181">
        <f t="shared" si="61"/>
        <v>54.717362715429694</v>
      </c>
      <c r="M75" s="150">
        <f t="shared" si="59"/>
        <v>7.7548553208441033</v>
      </c>
      <c r="N75" s="150">
        <f t="shared" si="59"/>
        <v>95.076543319015585</v>
      </c>
      <c r="O75" s="150"/>
      <c r="P75" s="181">
        <f t="shared" si="62"/>
        <v>52.116597905496207</v>
      </c>
      <c r="Q75" s="150">
        <f t="shared" si="60"/>
        <v>26.086115484885141</v>
      </c>
      <c r="R75" s="150">
        <f t="shared" si="60"/>
        <v>77.223518172710172</v>
      </c>
    </row>
    <row r="76" spans="2:18" x14ac:dyDescent="0.3">
      <c r="B76" s="141" t="s">
        <v>7</v>
      </c>
      <c r="C76" s="141" t="s">
        <v>50</v>
      </c>
      <c r="D76" s="151">
        <v>-6.4439999999999997E-2</v>
      </c>
      <c r="E76" s="140">
        <v>0.21440000000000001</v>
      </c>
      <c r="F76" s="140">
        <v>65</v>
      </c>
      <c r="G76" s="151">
        <v>-0.3</v>
      </c>
      <c r="H76" s="140">
        <v>0.76470000000000005</v>
      </c>
      <c r="I76" s="140">
        <v>0.1</v>
      </c>
      <c r="J76" s="151">
        <v>-0.42220000000000002</v>
      </c>
      <c r="K76" s="140">
        <v>0.29339999999999999</v>
      </c>
      <c r="L76" s="181">
        <f t="shared" si="61"/>
        <v>40.304966075316031</v>
      </c>
      <c r="M76" s="150">
        <f t="shared" si="59"/>
        <v>5.5599775801593081</v>
      </c>
      <c r="N76" s="150">
        <f t="shared" si="59"/>
        <v>86.704103011331398</v>
      </c>
      <c r="O76" s="150"/>
      <c r="P76" s="181">
        <f t="shared" si="62"/>
        <v>45.62268334698922</v>
      </c>
      <c r="Q76" s="150">
        <f t="shared" si="60"/>
        <v>23.609249293488944</v>
      </c>
      <c r="R76" s="150">
        <f t="shared" si="60"/>
        <v>69.150559779578515</v>
      </c>
    </row>
    <row r="77" spans="2:18" x14ac:dyDescent="0.3">
      <c r="B77" s="141" t="s">
        <v>7</v>
      </c>
      <c r="C77" s="141" t="s">
        <v>51</v>
      </c>
      <c r="D77" s="151">
        <v>-1.44E-2</v>
      </c>
      <c r="E77" s="140">
        <v>0.25969999999999999</v>
      </c>
      <c r="F77" s="140">
        <v>65</v>
      </c>
      <c r="G77" s="151">
        <v>-0.06</v>
      </c>
      <c r="H77" s="140">
        <v>0.95589999999999997</v>
      </c>
      <c r="I77" s="140">
        <v>0.1</v>
      </c>
      <c r="J77" s="151">
        <v>-0.44769999999999999</v>
      </c>
      <c r="K77" s="140">
        <v>0.41889999999999999</v>
      </c>
      <c r="L77" s="181">
        <f t="shared" si="61"/>
        <v>47.812347470637796</v>
      </c>
      <c r="M77" s="150">
        <f t="shared" si="59"/>
        <v>4.5802081815031652</v>
      </c>
      <c r="N77" s="150">
        <f t="shared" si="59"/>
        <v>94.3016763307144</v>
      </c>
      <c r="O77" s="150"/>
      <c r="P77" s="181">
        <f t="shared" si="62"/>
        <v>49.019912678857338</v>
      </c>
      <c r="Q77" s="150">
        <f t="shared" si="60"/>
        <v>22.298193909897595</v>
      </c>
      <c r="R77" s="150">
        <f t="shared" si="60"/>
        <v>76.217963100604933</v>
      </c>
    </row>
    <row r="78" spans="2:18" x14ac:dyDescent="0.3">
      <c r="B78" s="141" t="s">
        <v>7</v>
      </c>
      <c r="C78" s="141" t="s">
        <v>28</v>
      </c>
      <c r="D78" s="140">
        <v>0.1066</v>
      </c>
      <c r="E78" s="140">
        <v>0.17899999999999999</v>
      </c>
      <c r="F78" s="140">
        <v>65</v>
      </c>
      <c r="G78" s="140">
        <v>0.6</v>
      </c>
      <c r="H78" s="140">
        <v>0.55359999999999998</v>
      </c>
      <c r="I78" s="140">
        <v>0.1</v>
      </c>
      <c r="J78" s="151">
        <v>-0.19209999999999999</v>
      </c>
      <c r="K78" s="140">
        <v>0.4052</v>
      </c>
      <c r="L78" s="181">
        <f t="shared" si="61"/>
        <v>65.758846410910408</v>
      </c>
      <c r="M78" s="150">
        <f t="shared" si="59"/>
        <v>23.257397047602417</v>
      </c>
      <c r="N78" s="150">
        <f t="shared" si="59"/>
        <v>93.697433531379488</v>
      </c>
      <c r="O78" s="150"/>
      <c r="P78" s="181">
        <f t="shared" si="62"/>
        <v>57.215392160575028</v>
      </c>
      <c r="Q78" s="150">
        <f t="shared" si="60"/>
        <v>37.159567562819007</v>
      </c>
      <c r="R78" s="150">
        <f t="shared" si="60"/>
        <v>75.493098519250637</v>
      </c>
    </row>
    <row r="79" spans="2:18" x14ac:dyDescent="0.3">
      <c r="B79" s="141" t="s">
        <v>7</v>
      </c>
      <c r="C79" s="141" t="s">
        <v>29</v>
      </c>
      <c r="D79" s="140">
        <v>5.0369999999999998E-2</v>
      </c>
      <c r="E79" s="140">
        <v>0.23039999999999999</v>
      </c>
      <c r="F79" s="140">
        <v>65</v>
      </c>
      <c r="G79" s="140">
        <v>0.22</v>
      </c>
      <c r="H79" s="140">
        <v>0.82769999999999999</v>
      </c>
      <c r="I79" s="140">
        <v>0.1</v>
      </c>
      <c r="J79" s="151">
        <v>-0.33410000000000001</v>
      </c>
      <c r="K79" s="140">
        <v>0.43480000000000002</v>
      </c>
      <c r="L79" s="181">
        <f t="shared" si="61"/>
        <v>57.608345833315177</v>
      </c>
      <c r="M79" s="150">
        <f t="shared" si="59"/>
        <v>10.292587546697639</v>
      </c>
      <c r="N79" s="150">
        <f t="shared" si="59"/>
        <v>94.943483611115155</v>
      </c>
      <c r="O79" s="150"/>
      <c r="P79" s="181">
        <f t="shared" si="62"/>
        <v>53.424303015651866</v>
      </c>
      <c r="Q79" s="150">
        <f t="shared" si="60"/>
        <v>28.456424289427861</v>
      </c>
      <c r="R79" s="150">
        <f t="shared" si="60"/>
        <v>77.043933577990927</v>
      </c>
    </row>
    <row r="80" spans="2:18" x14ac:dyDescent="0.3">
      <c r="B80" s="141" t="s">
        <v>7</v>
      </c>
      <c r="C80" s="141" t="s">
        <v>52</v>
      </c>
      <c r="D80" s="140">
        <v>0.10970000000000001</v>
      </c>
      <c r="E80" s="140">
        <v>0.2366</v>
      </c>
      <c r="F80" s="140">
        <v>65</v>
      </c>
      <c r="G80" s="140">
        <v>0.46</v>
      </c>
      <c r="H80" s="140">
        <v>0.64429999999999998</v>
      </c>
      <c r="I80" s="140">
        <v>0.1</v>
      </c>
      <c r="J80" s="151">
        <v>-0.28499999999999998</v>
      </c>
      <c r="K80" s="140">
        <v>0.50449999999999995</v>
      </c>
      <c r="L80" s="181">
        <f t="shared" si="61"/>
        <v>66.190884769951623</v>
      </c>
      <c r="M80" s="150">
        <f t="shared" si="59"/>
        <v>13.985928678681706</v>
      </c>
      <c r="N80" s="150">
        <f t="shared" si="59"/>
        <v>97.098639619100823</v>
      </c>
      <c r="O80" s="150"/>
      <c r="P80" s="181">
        <f t="shared" si="62"/>
        <v>57.422761441109905</v>
      </c>
      <c r="Q80" s="150">
        <f t="shared" si="60"/>
        <v>31.354363592908065</v>
      </c>
      <c r="R80" s="150">
        <f t="shared" si="60"/>
        <v>80.464710074761427</v>
      </c>
    </row>
    <row r="81" spans="2:18" x14ac:dyDescent="0.3">
      <c r="B81" s="141" t="s">
        <v>7</v>
      </c>
      <c r="C81" s="141" t="s">
        <v>30</v>
      </c>
      <c r="D81" s="140">
        <v>0.27739999999999998</v>
      </c>
      <c r="E81" s="140">
        <v>0.15989999999999999</v>
      </c>
      <c r="F81" s="140">
        <v>65</v>
      </c>
      <c r="G81" s="140">
        <v>1.73</v>
      </c>
      <c r="H81" s="140">
        <v>8.7499999999999994E-2</v>
      </c>
      <c r="I81" s="140">
        <v>0.1</v>
      </c>
      <c r="J81" s="140">
        <v>1.059E-2</v>
      </c>
      <c r="K81" s="140">
        <v>0.54420000000000002</v>
      </c>
      <c r="L81" s="181">
        <f t="shared" ref="L81:L90" si="63">100*_xlfn.T.DIST(D81/$D$17,$F81,1)</f>
        <v>85.368632707403094</v>
      </c>
      <c r="M81" s="150">
        <f t="shared" ref="M81:M90" si="64">100*_xlfn.T.DIST(J81/$D$17,$F81,1)</f>
        <v>51.609215257962724</v>
      </c>
      <c r="N81" s="150">
        <f t="shared" ref="N81:N90" si="65">100*_xlfn.T.DIST(K81/$D$17,$F81,1)</f>
        <v>97.933019811165096</v>
      </c>
      <c r="O81" s="150"/>
      <c r="P81" s="181">
        <f t="shared" ref="P81:P90" si="66">100*_xlfn.T.DIST(D81/$L$59,$F81,1)</f>
        <v>68.185696464091421</v>
      </c>
      <c r="Q81" s="150">
        <f t="shared" ref="Q81:Q90" si="67">100*_xlfn.T.DIST(J81/$L$59,$F81,1)</f>
        <v>50.720806620124037</v>
      </c>
      <c r="R81" s="150">
        <f t="shared" ref="R81:R90" si="68">100*_xlfn.T.DIST(K81/$L$59,$F81,1)</f>
        <v>82.26346848274413</v>
      </c>
    </row>
    <row r="82" spans="2:18" x14ac:dyDescent="0.3">
      <c r="B82" s="141" t="s">
        <v>7</v>
      </c>
      <c r="C82" s="141" t="s">
        <v>53</v>
      </c>
      <c r="D82" s="151">
        <v>-6.1379999999999997E-2</v>
      </c>
      <c r="E82" s="140">
        <v>0.2351</v>
      </c>
      <c r="F82" s="140">
        <v>65</v>
      </c>
      <c r="G82" s="151">
        <v>-0.26</v>
      </c>
      <c r="H82" s="140">
        <v>0.79490000000000005</v>
      </c>
      <c r="I82" s="140">
        <v>0.1</v>
      </c>
      <c r="J82" s="151">
        <v>-0.45369999999999999</v>
      </c>
      <c r="K82" s="140">
        <v>0.33100000000000002</v>
      </c>
      <c r="L82" s="181">
        <f t="shared" si="63"/>
        <v>40.756612364074705</v>
      </c>
      <c r="M82" s="150">
        <f t="shared" si="64"/>
        <v>4.3715830202756472</v>
      </c>
      <c r="N82" s="150">
        <f t="shared" si="65"/>
        <v>89.498062051616927</v>
      </c>
      <c r="O82" s="150"/>
      <c r="P82" s="181">
        <f t="shared" si="66"/>
        <v>45.829749040276305</v>
      </c>
      <c r="Q82" s="150">
        <f t="shared" si="67"/>
        <v>21.995988325437171</v>
      </c>
      <c r="R82" s="150">
        <f t="shared" si="68"/>
        <v>71.364534851679267</v>
      </c>
    </row>
    <row r="83" spans="2:18" x14ac:dyDescent="0.3">
      <c r="B83" s="141" t="s">
        <v>7</v>
      </c>
      <c r="C83" s="141" t="s">
        <v>31</v>
      </c>
      <c r="D83" s="151">
        <v>-2.9170000000000001E-2</v>
      </c>
      <c r="E83" s="140">
        <v>0.159</v>
      </c>
      <c r="F83" s="140">
        <v>65</v>
      </c>
      <c r="G83" s="151">
        <v>-0.18</v>
      </c>
      <c r="H83" s="140">
        <v>0.85499999999999998</v>
      </c>
      <c r="I83" s="140">
        <v>0.1</v>
      </c>
      <c r="J83" s="151">
        <v>-0.29449999999999998</v>
      </c>
      <c r="K83" s="140">
        <v>0.23619999999999999</v>
      </c>
      <c r="L83" s="181">
        <f t="shared" si="63"/>
        <v>45.575530803458534</v>
      </c>
      <c r="M83" s="150">
        <f t="shared" si="64"/>
        <v>13.207342357398517</v>
      </c>
      <c r="N83" s="150">
        <f t="shared" si="65"/>
        <v>81.517455657595164</v>
      </c>
      <c r="O83" s="150"/>
      <c r="P83" s="181">
        <f t="shared" si="66"/>
        <v>48.015276623338366</v>
      </c>
      <c r="Q83" s="150">
        <f t="shared" si="67"/>
        <v>30.783590071381866</v>
      </c>
      <c r="R83" s="150">
        <f t="shared" si="68"/>
        <v>65.643683048574189</v>
      </c>
    </row>
    <row r="84" spans="2:18" x14ac:dyDescent="0.3">
      <c r="B84" s="141" t="s">
        <v>7</v>
      </c>
      <c r="C84" s="141" t="s">
        <v>32</v>
      </c>
      <c r="D84" s="151">
        <v>-0.17780000000000001</v>
      </c>
      <c r="E84" s="140">
        <v>0.17499999999999999</v>
      </c>
      <c r="F84" s="140">
        <v>65</v>
      </c>
      <c r="G84" s="151">
        <v>-1.02</v>
      </c>
      <c r="H84" s="140">
        <v>0.31330000000000002</v>
      </c>
      <c r="I84" s="140">
        <v>0.1</v>
      </c>
      <c r="J84" s="151">
        <v>-0.46970000000000001</v>
      </c>
      <c r="K84" s="140">
        <v>0.1142</v>
      </c>
      <c r="L84" s="181">
        <f t="shared" si="63"/>
        <v>24.9448886112163</v>
      </c>
      <c r="M84" s="150">
        <f t="shared" si="64"/>
        <v>3.8533404868896906</v>
      </c>
      <c r="N84" s="150">
        <f t="shared" si="65"/>
        <v>66.81416095648828</v>
      </c>
      <c r="O84" s="150"/>
      <c r="P84" s="181">
        <f t="shared" si="66"/>
        <v>38.084614937790221</v>
      </c>
      <c r="Q84" s="150">
        <f t="shared" si="67"/>
        <v>21.201960757552868</v>
      </c>
      <c r="R84" s="150">
        <f t="shared" si="68"/>
        <v>57.723406436970201</v>
      </c>
    </row>
    <row r="85" spans="2:18" x14ac:dyDescent="0.3">
      <c r="B85" s="141" t="s">
        <v>7</v>
      </c>
      <c r="C85" s="141" t="s">
        <v>33</v>
      </c>
      <c r="D85" s="151">
        <v>-0.24279999999999999</v>
      </c>
      <c r="E85" s="140">
        <v>0.2056</v>
      </c>
      <c r="F85" s="140">
        <v>65</v>
      </c>
      <c r="G85" s="151">
        <v>-1.18</v>
      </c>
      <c r="H85" s="140">
        <v>0.24199999999999999</v>
      </c>
      <c r="I85" s="140">
        <v>0.1</v>
      </c>
      <c r="J85" s="151">
        <v>-0.58589999999999998</v>
      </c>
      <c r="K85" s="140">
        <v>0.1003</v>
      </c>
      <c r="L85" s="181">
        <f t="shared" si="63"/>
        <v>17.825559010148844</v>
      </c>
      <c r="M85" s="150">
        <f t="shared" si="64"/>
        <v>1.4227646936990153</v>
      </c>
      <c r="N85" s="150">
        <f t="shared" si="65"/>
        <v>64.874354162367283</v>
      </c>
      <c r="O85" s="150"/>
      <c r="P85" s="181">
        <f t="shared" si="66"/>
        <v>33.943807577400932</v>
      </c>
      <c r="Q85" s="150">
        <f t="shared" si="67"/>
        <v>15.966306080070702</v>
      </c>
      <c r="R85" s="150">
        <f t="shared" si="68"/>
        <v>56.793341405632511</v>
      </c>
    </row>
    <row r="86" spans="2:18" x14ac:dyDescent="0.3">
      <c r="B86" s="141" t="s">
        <v>7</v>
      </c>
      <c r="C86" s="141" t="s">
        <v>54</v>
      </c>
      <c r="D86" s="151">
        <v>-0.1681</v>
      </c>
      <c r="E86" s="140">
        <v>0.2344</v>
      </c>
      <c r="F86" s="140">
        <v>65</v>
      </c>
      <c r="G86" s="151">
        <v>-0.72</v>
      </c>
      <c r="H86" s="140">
        <v>0.47589999999999999</v>
      </c>
      <c r="I86" s="140">
        <v>0.1</v>
      </c>
      <c r="J86" s="151">
        <v>-0.55930000000000002</v>
      </c>
      <c r="K86" s="140">
        <v>0.22309999999999999</v>
      </c>
      <c r="L86" s="181">
        <f t="shared" si="63"/>
        <v>26.126413880899761</v>
      </c>
      <c r="M86" s="150">
        <f t="shared" si="64"/>
        <v>1.8091804506035647</v>
      </c>
      <c r="N86" s="150">
        <f t="shared" si="65"/>
        <v>80.168499266565945</v>
      </c>
      <c r="O86" s="150"/>
      <c r="P86" s="181">
        <f t="shared" si="66"/>
        <v>38.716123107932646</v>
      </c>
      <c r="Q86" s="150">
        <f t="shared" si="67"/>
        <v>17.081373329276278</v>
      </c>
      <c r="R86" s="150">
        <f t="shared" si="68"/>
        <v>64.819284699508387</v>
      </c>
    </row>
    <row r="87" spans="2:18" x14ac:dyDescent="0.3">
      <c r="B87" s="141" t="s">
        <v>7</v>
      </c>
      <c r="C87" s="141" t="s">
        <v>34</v>
      </c>
      <c r="D87" s="140">
        <v>3.5490000000000001E-2</v>
      </c>
      <c r="E87" s="140">
        <v>0.2293</v>
      </c>
      <c r="F87" s="140">
        <v>65</v>
      </c>
      <c r="G87" s="140">
        <v>0.15</v>
      </c>
      <c r="H87" s="140">
        <v>0.87749999999999995</v>
      </c>
      <c r="I87" s="140">
        <v>0.1</v>
      </c>
      <c r="J87" s="151">
        <v>-0.34710000000000002</v>
      </c>
      <c r="K87" s="140">
        <v>0.41799999999999998</v>
      </c>
      <c r="L87" s="181">
        <f t="shared" si="63"/>
        <v>55.377648006291636</v>
      </c>
      <c r="M87" s="150">
        <f t="shared" si="64"/>
        <v>9.4483925905746879</v>
      </c>
      <c r="N87" s="150">
        <f t="shared" si="65"/>
        <v>94.263468040624176</v>
      </c>
      <c r="O87" s="150"/>
      <c r="P87" s="181">
        <f t="shared" si="66"/>
        <v>52.414245794118195</v>
      </c>
      <c r="Q87" s="150">
        <f t="shared" si="67"/>
        <v>27.71162204108527</v>
      </c>
      <c r="R87" s="150">
        <f t="shared" si="68"/>
        <v>76.170716333338291</v>
      </c>
    </row>
    <row r="88" spans="2:18" x14ac:dyDescent="0.3">
      <c r="B88" s="141" t="s">
        <v>7</v>
      </c>
      <c r="C88" s="141" t="s">
        <v>35</v>
      </c>
      <c r="D88" s="140">
        <v>0.1772</v>
      </c>
      <c r="E88" s="140">
        <v>0.15040000000000001</v>
      </c>
      <c r="F88" s="140">
        <v>65</v>
      </c>
      <c r="G88" s="140">
        <v>1.18</v>
      </c>
      <c r="H88" s="140">
        <v>0.24279999999999999</v>
      </c>
      <c r="I88" s="140">
        <v>0.1</v>
      </c>
      <c r="J88" s="151">
        <v>-7.3669999999999999E-2</v>
      </c>
      <c r="K88" s="140">
        <v>0.42809999999999998</v>
      </c>
      <c r="L88" s="181">
        <f t="shared" si="63"/>
        <v>74.982879589281694</v>
      </c>
      <c r="M88" s="150">
        <f t="shared" si="64"/>
        <v>38.950878073713092</v>
      </c>
      <c r="N88" s="150">
        <f t="shared" si="65"/>
        <v>94.680598946158796</v>
      </c>
      <c r="O88" s="150"/>
      <c r="P88" s="181">
        <f t="shared" si="66"/>
        <v>61.876414822476875</v>
      </c>
      <c r="Q88" s="150">
        <f t="shared" si="67"/>
        <v>44.998862388763364</v>
      </c>
      <c r="R88" s="150">
        <f t="shared" si="68"/>
        <v>76.69790307713717</v>
      </c>
    </row>
    <row r="89" spans="2:18" x14ac:dyDescent="0.3">
      <c r="B89" s="141" t="s">
        <v>7</v>
      </c>
      <c r="C89" s="141" t="s">
        <v>36</v>
      </c>
      <c r="D89" s="151">
        <v>-0.2034</v>
      </c>
      <c r="E89" s="140">
        <v>0.15310000000000001</v>
      </c>
      <c r="F89" s="140">
        <v>65</v>
      </c>
      <c r="G89" s="151">
        <v>-1.33</v>
      </c>
      <c r="H89" s="140">
        <v>0.18870000000000001</v>
      </c>
      <c r="I89" s="140">
        <v>0.1</v>
      </c>
      <c r="J89" s="151">
        <v>-0.45900000000000002</v>
      </c>
      <c r="K89" s="140">
        <v>5.212E-2</v>
      </c>
      <c r="L89" s="181">
        <f t="shared" si="63"/>
        <v>21.971145618566961</v>
      </c>
      <c r="M89" s="150">
        <f t="shared" si="64"/>
        <v>4.1938821653503595</v>
      </c>
      <c r="N89" s="150">
        <f t="shared" si="65"/>
        <v>57.869206412957027</v>
      </c>
      <c r="O89" s="150"/>
      <c r="P89" s="181">
        <f t="shared" si="66"/>
        <v>36.433884784801371</v>
      </c>
      <c r="Q89" s="150">
        <f t="shared" si="67"/>
        <v>21.731051202410011</v>
      </c>
      <c r="R89" s="150">
        <f t="shared" si="68"/>
        <v>53.542958093487634</v>
      </c>
    </row>
    <row r="90" spans="2:18" x14ac:dyDescent="0.3">
      <c r="B90" s="141" t="s">
        <v>7</v>
      </c>
      <c r="C90" s="141" t="s">
        <v>55</v>
      </c>
      <c r="D90" s="140">
        <v>3.6269999999999997E-2</v>
      </c>
      <c r="E90" s="140">
        <v>0.23019999999999999</v>
      </c>
      <c r="F90" s="140">
        <v>65</v>
      </c>
      <c r="G90" s="140">
        <v>0.16</v>
      </c>
      <c r="H90" s="140">
        <v>0.87529999999999997</v>
      </c>
      <c r="I90" s="140">
        <v>0.1</v>
      </c>
      <c r="J90" s="151">
        <v>-0.34789999999999999</v>
      </c>
      <c r="K90" s="140">
        <v>0.4204</v>
      </c>
      <c r="L90" s="181">
        <f t="shared" si="63"/>
        <v>55.495078664408084</v>
      </c>
      <c r="M90" s="150">
        <f t="shared" si="64"/>
        <v>9.398199863464745</v>
      </c>
      <c r="N90" s="150">
        <f t="shared" si="65"/>
        <v>94.364900979724297</v>
      </c>
      <c r="O90" s="150"/>
      <c r="P90" s="181">
        <f t="shared" si="66"/>
        <v>52.467237616000915</v>
      </c>
      <c r="Q90" s="150">
        <f t="shared" si="67"/>
        <v>27.666108709832844</v>
      </c>
      <c r="R90" s="150">
        <f t="shared" si="68"/>
        <v>76.296590766622955</v>
      </c>
    </row>
  </sheetData>
  <mergeCells count="186">
    <mergeCell ref="P3:Q3"/>
    <mergeCell ref="B8:I8"/>
    <mergeCell ref="B9:B10"/>
    <mergeCell ref="C9:C10"/>
    <mergeCell ref="D9:D10"/>
    <mergeCell ref="F9:F10"/>
    <mergeCell ref="G9:G10"/>
    <mergeCell ref="H9:I10"/>
    <mergeCell ref="CI14:CN14"/>
    <mergeCell ref="CO14:CW14"/>
    <mergeCell ref="AY15:AY16"/>
    <mergeCell ref="AZ15:AZ16"/>
    <mergeCell ref="BA15:BC15"/>
    <mergeCell ref="BD15:BE15"/>
    <mergeCell ref="BH15:BK15"/>
    <mergeCell ref="BL15:BM15"/>
    <mergeCell ref="BN15:BP16"/>
    <mergeCell ref="BQ15:BS16"/>
    <mergeCell ref="AY14:BE14"/>
    <mergeCell ref="BF14:BG14"/>
    <mergeCell ref="BH14:BM14"/>
    <mergeCell ref="BN14:BV14"/>
    <mergeCell ref="BZ14:CF14"/>
    <mergeCell ref="CG14:CH14"/>
    <mergeCell ref="CI15:CL15"/>
    <mergeCell ref="CM15:CN15"/>
    <mergeCell ref="CO15:CQ16"/>
    <mergeCell ref="CR15:CT16"/>
    <mergeCell ref="CU15:CW16"/>
    <mergeCell ref="CX15:CX16"/>
    <mergeCell ref="BT15:BV16"/>
    <mergeCell ref="BW15:BW16"/>
    <mergeCell ref="BZ15:BZ16"/>
    <mergeCell ref="CA15:CA16"/>
    <mergeCell ref="CB15:CD15"/>
    <mergeCell ref="CE15:CF15"/>
    <mergeCell ref="C25:N25"/>
    <mergeCell ref="C26:C27"/>
    <mergeCell ref="D26:D27"/>
    <mergeCell ref="F26:F27"/>
    <mergeCell ref="G26:G27"/>
    <mergeCell ref="H26:H27"/>
    <mergeCell ref="I26:I27"/>
    <mergeCell ref="J26:J27"/>
    <mergeCell ref="K26:K27"/>
    <mergeCell ref="CI29:CN29"/>
    <mergeCell ref="CO29:CW29"/>
    <mergeCell ref="AY30:AY31"/>
    <mergeCell ref="AZ30:AZ31"/>
    <mergeCell ref="BA30:BC30"/>
    <mergeCell ref="BD30:BE30"/>
    <mergeCell ref="BH30:BK30"/>
    <mergeCell ref="BL30:BM30"/>
    <mergeCell ref="BN30:BP31"/>
    <mergeCell ref="BQ30:BS31"/>
    <mergeCell ref="AY29:BE29"/>
    <mergeCell ref="BF29:BG29"/>
    <mergeCell ref="BH29:BM29"/>
    <mergeCell ref="BN29:BV29"/>
    <mergeCell ref="BZ29:CF29"/>
    <mergeCell ref="CG29:CH29"/>
    <mergeCell ref="CI30:CL30"/>
    <mergeCell ref="CM30:CN30"/>
    <mergeCell ref="CO30:CQ31"/>
    <mergeCell ref="CR30:CT31"/>
    <mergeCell ref="CU30:CW31"/>
    <mergeCell ref="CX30:CX31"/>
    <mergeCell ref="BT30:BV31"/>
    <mergeCell ref="BW30:BW31"/>
    <mergeCell ref="BZ30:BZ31"/>
    <mergeCell ref="CA30:CA31"/>
    <mergeCell ref="CB30:CD30"/>
    <mergeCell ref="CE30:CF30"/>
    <mergeCell ref="CU46:CW47"/>
    <mergeCell ref="CX46:CX47"/>
    <mergeCell ref="BT46:BV47"/>
    <mergeCell ref="BW46:BW47"/>
    <mergeCell ref="BZ46:BZ47"/>
    <mergeCell ref="CA46:CA47"/>
    <mergeCell ref="CB46:CD46"/>
    <mergeCell ref="CE46:CF46"/>
    <mergeCell ref="CI45:CN45"/>
    <mergeCell ref="CO45:CW45"/>
    <mergeCell ref="BN45:BV45"/>
    <mergeCell ref="BZ45:CF45"/>
    <mergeCell ref="CG45:CH45"/>
    <mergeCell ref="BZ41:CF41"/>
    <mergeCell ref="BQ42:BS43"/>
    <mergeCell ref="BT42:BV43"/>
    <mergeCell ref="BW42:BW43"/>
    <mergeCell ref="BZ42:BZ43"/>
    <mergeCell ref="CI46:CL46"/>
    <mergeCell ref="CM46:CN46"/>
    <mergeCell ref="CO46:CQ47"/>
    <mergeCell ref="CR46:CT47"/>
    <mergeCell ref="BQ46:BS47"/>
    <mergeCell ref="BD42:BE42"/>
    <mergeCell ref="BH42:BK42"/>
    <mergeCell ref="BL42:BM42"/>
    <mergeCell ref="BN42:BP43"/>
    <mergeCell ref="B65:K65"/>
    <mergeCell ref="AY41:BE41"/>
    <mergeCell ref="BF41:BG41"/>
    <mergeCell ref="BH41:BM41"/>
    <mergeCell ref="BN41:BV41"/>
    <mergeCell ref="AY46:AY47"/>
    <mergeCell ref="AZ46:AZ47"/>
    <mergeCell ref="BA46:BC46"/>
    <mergeCell ref="BD46:BE46"/>
    <mergeCell ref="BH46:BK46"/>
    <mergeCell ref="BL46:BM46"/>
    <mergeCell ref="BN46:BP47"/>
    <mergeCell ref="AY45:BE45"/>
    <mergeCell ref="BF45:BG45"/>
    <mergeCell ref="BH45:BM45"/>
    <mergeCell ref="BQ38:BS39"/>
    <mergeCell ref="BT38:BV39"/>
    <mergeCell ref="CR42:CT43"/>
    <mergeCell ref="CU42:CW43"/>
    <mergeCell ref="CX42:CX43"/>
    <mergeCell ref="AY37:BE37"/>
    <mergeCell ref="BF37:BG37"/>
    <mergeCell ref="BH37:BM37"/>
    <mergeCell ref="BN37:BV37"/>
    <mergeCell ref="BZ37:CF37"/>
    <mergeCell ref="CG37:CH37"/>
    <mergeCell ref="CI37:CN37"/>
    <mergeCell ref="CA42:CA43"/>
    <mergeCell ref="CB42:CD42"/>
    <mergeCell ref="CE42:CF42"/>
    <mergeCell ref="CI42:CL42"/>
    <mergeCell ref="CM42:CN42"/>
    <mergeCell ref="CO42:CQ43"/>
    <mergeCell ref="CG41:CH41"/>
    <mergeCell ref="CI41:CN41"/>
    <mergeCell ref="CO41:CW41"/>
    <mergeCell ref="AY42:AY43"/>
    <mergeCell ref="AZ42:AZ43"/>
    <mergeCell ref="BA42:BC42"/>
    <mergeCell ref="CM38:CN38"/>
    <mergeCell ref="CO38:CQ39"/>
    <mergeCell ref="CR38:CT39"/>
    <mergeCell ref="CU38:CW39"/>
    <mergeCell ref="CX38:CX39"/>
    <mergeCell ref="AY33:BE33"/>
    <mergeCell ref="BF33:BG33"/>
    <mergeCell ref="BH33:BM33"/>
    <mergeCell ref="BN33:BV33"/>
    <mergeCell ref="BZ33:CF33"/>
    <mergeCell ref="BW38:BW39"/>
    <mergeCell ref="BZ38:BZ39"/>
    <mergeCell ref="CA38:CA39"/>
    <mergeCell ref="CB38:CD38"/>
    <mergeCell ref="CE38:CF38"/>
    <mergeCell ref="CI38:CL38"/>
    <mergeCell ref="CO37:CW37"/>
    <mergeCell ref="AY38:AY39"/>
    <mergeCell ref="AZ38:AZ39"/>
    <mergeCell ref="BA38:BC38"/>
    <mergeCell ref="BD38:BE38"/>
    <mergeCell ref="BH38:BK38"/>
    <mergeCell ref="BL38:BM38"/>
    <mergeCell ref="BN38:BP39"/>
    <mergeCell ref="CG33:CH33"/>
    <mergeCell ref="CI33:CN33"/>
    <mergeCell ref="CO33:CW33"/>
    <mergeCell ref="AY34:AY35"/>
    <mergeCell ref="AZ34:AZ35"/>
    <mergeCell ref="BA34:BC34"/>
    <mergeCell ref="BD34:BE34"/>
    <mergeCell ref="BH34:BK34"/>
    <mergeCell ref="BL34:BM34"/>
    <mergeCell ref="BN34:BP35"/>
    <mergeCell ref="CX34:CX35"/>
    <mergeCell ref="CE34:CF34"/>
    <mergeCell ref="CI34:CL34"/>
    <mergeCell ref="CM34:CN34"/>
    <mergeCell ref="CO34:CQ35"/>
    <mergeCell ref="CR34:CT35"/>
    <mergeCell ref="CU34:CW35"/>
    <mergeCell ref="BQ34:BS35"/>
    <mergeCell ref="BT34:BV35"/>
    <mergeCell ref="BW34:BW35"/>
    <mergeCell ref="BZ34:BZ35"/>
    <mergeCell ref="CA34:CA35"/>
    <mergeCell ref="CB34:CD34"/>
  </mergeCells>
  <pageMargins left="0.7" right="0.7" top="0.75" bottom="0.75" header="0.3" footer="0.3"/>
  <pageSetup paperSize="9" orientation="portrait" horizontalDpi="4294967293" r:id="rId1"/>
  <ignoredErrors>
    <ignoredError sqref="AF17:AF18 AF32 AF36" formula="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DZ72"/>
  <sheetViews>
    <sheetView tabSelected="1" topLeftCell="D16" zoomScale="90" zoomScaleNormal="90" workbookViewId="0">
      <selection activeCell="M53" sqref="M53"/>
    </sheetView>
  </sheetViews>
  <sheetFormatPr defaultRowHeight="15.05" x14ac:dyDescent="0.3"/>
  <cols>
    <col min="3" max="3" width="12.21875" customWidth="1"/>
    <col min="4" max="4" width="12" customWidth="1"/>
    <col min="5" max="5" width="10.21875" customWidth="1"/>
    <col min="6" max="6" width="10.109375" customWidth="1"/>
    <col min="7" max="8" width="8.88671875" customWidth="1"/>
    <col min="12" max="12" width="13.44140625" customWidth="1"/>
    <col min="13" max="14" width="13.21875" customWidth="1"/>
    <col min="15" max="15" width="2.44140625" customWidth="1"/>
    <col min="19" max="19" width="3.109375" customWidth="1"/>
    <col min="20" max="20" width="6.21875" customWidth="1"/>
    <col min="21" max="21" width="3.44140625" customWidth="1"/>
    <col min="25" max="25" width="9.77734375" customWidth="1"/>
    <col min="28" max="28" width="4.109375" customWidth="1"/>
    <col min="34" max="34" width="1.88671875" customWidth="1"/>
    <col min="36" max="36" width="3.88671875" customWidth="1"/>
    <col min="42" max="42" width="3" customWidth="1"/>
    <col min="64" max="65" width="23.77734375" customWidth="1"/>
    <col min="67" max="67" width="2.33203125" customWidth="1"/>
    <col min="70" max="70" width="2.33203125" customWidth="1"/>
    <col min="73" max="73" width="2.33203125" customWidth="1"/>
    <col min="75" max="75" width="10.33203125" customWidth="1"/>
    <col min="77" max="77" width="17.5546875" customWidth="1"/>
    <col min="91" max="92" width="23.77734375" customWidth="1"/>
    <col min="94" max="94" width="2.5546875" customWidth="1"/>
    <col min="97" max="97" width="2.6640625" customWidth="1"/>
    <col min="100" max="100" width="2.21875" customWidth="1"/>
    <col min="102" max="102" width="10.44140625" customWidth="1"/>
    <col min="104" max="104" width="17.33203125" customWidth="1"/>
    <col min="118" max="119" width="23.77734375" customWidth="1"/>
    <col min="121" max="121" width="2.33203125" customWidth="1"/>
    <col min="124" max="124" width="2.33203125" customWidth="1"/>
    <col min="127" max="127" width="2.44140625" customWidth="1"/>
    <col min="129" max="129" width="11" customWidth="1"/>
  </cols>
  <sheetData>
    <row r="1" spans="2:130" ht="14.4" x14ac:dyDescent="0.3">
      <c r="B1" s="15" t="s">
        <v>45</v>
      </c>
    </row>
    <row r="2" spans="2:130" ht="14.4" x14ac:dyDescent="0.3">
      <c r="B2" s="129" t="s">
        <v>234</v>
      </c>
      <c r="X2" s="7" t="s">
        <v>187</v>
      </c>
      <c r="Y2" s="7"/>
      <c r="AE2" s="7" t="s">
        <v>192</v>
      </c>
      <c r="AM2" s="7" t="s">
        <v>188</v>
      </c>
      <c r="AS2" s="7" t="s">
        <v>189</v>
      </c>
    </row>
    <row r="3" spans="2:130" ht="14.4" x14ac:dyDescent="0.3">
      <c r="B3" s="5" t="s">
        <v>255</v>
      </c>
      <c r="C3" s="5"/>
      <c r="D3" s="5"/>
      <c r="E3" s="5"/>
      <c r="F3" s="5"/>
      <c r="G3" s="5"/>
      <c r="P3" s="279" t="s">
        <v>179</v>
      </c>
      <c r="Q3" s="279"/>
      <c r="X3" s="8" t="s">
        <v>135</v>
      </c>
      <c r="Y3" s="8"/>
      <c r="AE3" s="8" t="s">
        <v>190</v>
      </c>
      <c r="AM3" s="8" t="s">
        <v>186</v>
      </c>
      <c r="AS3" s="8" t="s">
        <v>181</v>
      </c>
      <c r="AT3" s="7"/>
      <c r="AY3" s="5" t="s">
        <v>207</v>
      </c>
    </row>
    <row r="4" spans="2:130" ht="14.4" x14ac:dyDescent="0.3">
      <c r="B4" s="5"/>
      <c r="C4" s="5"/>
      <c r="D4" s="5"/>
      <c r="E4" s="5"/>
      <c r="F4" s="5"/>
      <c r="G4" s="9" t="s">
        <v>256</v>
      </c>
      <c r="H4" s="74">
        <v>13.8</v>
      </c>
      <c r="I4" s="5" t="s">
        <v>95</v>
      </c>
      <c r="P4" s="127" t="s">
        <v>178</v>
      </c>
      <c r="Q4" s="128" t="s">
        <v>177</v>
      </c>
      <c r="X4" s="8" t="s">
        <v>200</v>
      </c>
      <c r="Y4" s="8"/>
      <c r="AE4" s="8" t="s">
        <v>191</v>
      </c>
      <c r="AM4" s="8" t="s">
        <v>214</v>
      </c>
      <c r="AS4" s="8" t="s">
        <v>182</v>
      </c>
      <c r="AT4" s="8"/>
      <c r="AY4" s="5" t="s">
        <v>209</v>
      </c>
    </row>
    <row r="5" spans="2:130" x14ac:dyDescent="0.3">
      <c r="D5" s="9" t="s">
        <v>176</v>
      </c>
      <c r="E5" s="74" t="s">
        <v>177</v>
      </c>
      <c r="F5" s="74" t="s">
        <v>178</v>
      </c>
      <c r="G5" s="5" t="s">
        <v>245</v>
      </c>
      <c r="J5" s="28"/>
      <c r="K5" s="28"/>
      <c r="P5" s="59" t="str">
        <f>IF(AND(IFERROR(SEARCH("incr",$E$5&amp;$F$5),0),IFERROR(SEARCH("decr",$E$5&amp;$F$5),0)),"???",IF(IFERROR(SEARCH("incr",$E$5&amp;$F$5),0),0,IF(IFERROR(SEARCH("decr",$E$5&amp;$F$5),0),1,"???")))</f>
        <v>???</v>
      </c>
      <c r="Q5" s="59" t="str">
        <f>IF(AND(IFERROR(SEARCH("incr",$E$5&amp;$F$5),0),IFERROR(SEARCH("decr",$E$5&amp;$F$5),0)),"???",IF(IFERROR(SEARCH("incr",$E$5&amp;$F$5),0),1,IF(IFERROR(SEARCH("decr",$E$5&amp;$F$5),0),0,"???")))</f>
        <v>???</v>
      </c>
      <c r="X5" s="8" t="s">
        <v>226</v>
      </c>
      <c r="Y5" s="8"/>
      <c r="AE5" s="8"/>
      <c r="AM5" s="8" t="s">
        <v>215</v>
      </c>
      <c r="AS5" s="8" t="s">
        <v>140</v>
      </c>
      <c r="AT5" s="8"/>
    </row>
    <row r="6" spans="2:130" ht="14.4" x14ac:dyDescent="0.3">
      <c r="B6" s="5" t="s">
        <v>236</v>
      </c>
      <c r="D6" s="9"/>
      <c r="E6" s="9"/>
      <c r="F6" s="9"/>
      <c r="G6" s="9"/>
      <c r="J6" s="28"/>
      <c r="K6" s="28"/>
      <c r="P6" s="59"/>
      <c r="Q6" s="59"/>
      <c r="X6" s="8"/>
      <c r="Y6" s="8"/>
      <c r="AE6" s="8"/>
      <c r="AM6" s="8"/>
      <c r="AS6" s="8"/>
      <c r="AT6" s="8"/>
    </row>
    <row r="7" spans="2:130" ht="22.85" x14ac:dyDescent="0.3">
      <c r="D7" s="28"/>
      <c r="E7" s="28"/>
      <c r="F7" s="119"/>
      <c r="G7" s="5"/>
      <c r="Y7" s="8"/>
      <c r="AY7" s="78">
        <v>0</v>
      </c>
      <c r="AZ7" s="79" t="s">
        <v>143</v>
      </c>
      <c r="BA7" s="80">
        <v>0.5</v>
      </c>
      <c r="BB7" s="79" t="s">
        <v>144</v>
      </c>
      <c r="BC7" s="80">
        <v>5</v>
      </c>
      <c r="BD7" s="79" t="s">
        <v>145</v>
      </c>
      <c r="BE7" s="80">
        <v>25</v>
      </c>
      <c r="BF7" s="81" t="s">
        <v>146</v>
      </c>
      <c r="BG7" s="82">
        <f>100-BE7</f>
        <v>75</v>
      </c>
      <c r="BH7" s="79" t="s">
        <v>147</v>
      </c>
      <c r="BI7" s="82">
        <f>100-BC7</f>
        <v>95</v>
      </c>
      <c r="BJ7" s="79" t="s">
        <v>148</v>
      </c>
      <c r="BK7" s="82">
        <f>100-BA7</f>
        <v>99.5</v>
      </c>
      <c r="BL7" s="123" t="s">
        <v>149</v>
      </c>
    </row>
    <row r="8" spans="2:130" ht="14.4" customHeight="1" x14ac:dyDescent="0.3">
      <c r="B8" s="265" t="s">
        <v>59</v>
      </c>
      <c r="C8" s="265"/>
      <c r="D8" s="265"/>
      <c r="E8" s="265"/>
      <c r="F8" s="265"/>
      <c r="G8" s="265"/>
      <c r="H8" s="265"/>
      <c r="I8" s="265"/>
      <c r="J8" s="19"/>
      <c r="U8" s="6" t="s">
        <v>132</v>
      </c>
      <c r="AM8" s="7" t="s">
        <v>115</v>
      </c>
      <c r="AQ8" s="6" t="s">
        <v>196</v>
      </c>
    </row>
    <row r="9" spans="2:130" ht="14.4" customHeight="1" x14ac:dyDescent="0.3">
      <c r="B9" s="280" t="s">
        <v>0</v>
      </c>
      <c r="C9" s="265" t="s">
        <v>1</v>
      </c>
      <c r="D9" s="265" t="s">
        <v>2</v>
      </c>
      <c r="E9" s="2" t="s">
        <v>3</v>
      </c>
      <c r="F9" s="265" t="s">
        <v>5</v>
      </c>
      <c r="G9" s="265" t="s">
        <v>37</v>
      </c>
      <c r="H9" s="265" t="s">
        <v>6</v>
      </c>
      <c r="I9" s="265"/>
      <c r="J9" s="19"/>
      <c r="T9" s="47"/>
      <c r="U9" s="47"/>
      <c r="V9" s="54" t="s">
        <v>14</v>
      </c>
      <c r="W9" s="54" t="s">
        <v>62</v>
      </c>
      <c r="X9" s="54" t="s">
        <v>15</v>
      </c>
      <c r="Y9" s="54" t="s">
        <v>110</v>
      </c>
      <c r="Z9" s="54" t="s">
        <v>111</v>
      </c>
      <c r="AI9" s="47"/>
      <c r="AJ9" s="47"/>
      <c r="AK9" s="54" t="s">
        <v>14</v>
      </c>
      <c r="AL9" s="54" t="s">
        <v>62</v>
      </c>
      <c r="AM9" s="54" t="s">
        <v>15</v>
      </c>
      <c r="AN9" s="54" t="s">
        <v>110</v>
      </c>
      <c r="AO9" s="54" t="s">
        <v>111</v>
      </c>
      <c r="AQ9" s="54" t="s">
        <v>14</v>
      </c>
      <c r="AR9" s="54" t="s">
        <v>62</v>
      </c>
      <c r="AS9" s="54" t="s">
        <v>15</v>
      </c>
      <c r="AT9" s="54" t="s">
        <v>110</v>
      </c>
      <c r="AU9" s="54" t="s">
        <v>111</v>
      </c>
    </row>
    <row r="10" spans="2:130" x14ac:dyDescent="0.3">
      <c r="B10" s="280"/>
      <c r="C10" s="265"/>
      <c r="D10" s="265"/>
      <c r="E10" s="2" t="s">
        <v>4</v>
      </c>
      <c r="F10" s="265"/>
      <c r="G10" s="265"/>
      <c r="H10" s="265"/>
      <c r="I10" s="265"/>
      <c r="J10" s="19"/>
      <c r="U10" s="24" t="s">
        <v>108</v>
      </c>
      <c r="V10" s="4">
        <f t="shared" ref="V10:Z11" si="0">SQRT(V26)</f>
        <v>0.94868329805051377</v>
      </c>
      <c r="W10" s="4">
        <f t="shared" si="0"/>
        <v>0.83666002653407556</v>
      </c>
      <c r="X10" s="4">
        <f t="shared" si="0"/>
        <v>0.70710678118654757</v>
      </c>
      <c r="Y10" s="4">
        <f t="shared" si="0"/>
        <v>0.54772255750516607</v>
      </c>
      <c r="Z10" s="4">
        <f t="shared" si="0"/>
        <v>0.31622776601683794</v>
      </c>
      <c r="AJ10" s="24" t="s">
        <v>108</v>
      </c>
      <c r="AK10" s="4">
        <f t="shared" ref="AK10:AO11" si="1">0.5*AK26</f>
        <v>-0.1</v>
      </c>
      <c r="AL10" s="4">
        <f t="shared" si="1"/>
        <v>-0.3</v>
      </c>
      <c r="AM10" s="4">
        <f t="shared" si="1"/>
        <v>-0.6</v>
      </c>
      <c r="AN10" s="4">
        <f t="shared" si="1"/>
        <v>-1</v>
      </c>
      <c r="AO10" s="4">
        <f t="shared" si="1"/>
        <v>-2</v>
      </c>
      <c r="AQ10" s="10">
        <f t="shared" ref="AQ10:AU11" si="2">0.5*AQ26</f>
        <v>-0.5</v>
      </c>
      <c r="AR10" s="10">
        <f t="shared" si="2"/>
        <v>-1.5</v>
      </c>
      <c r="AS10" s="10">
        <f t="shared" si="2"/>
        <v>-2.5</v>
      </c>
      <c r="AT10" s="10">
        <f t="shared" si="2"/>
        <v>-3.5</v>
      </c>
      <c r="AU10" s="10">
        <f t="shared" si="2"/>
        <v>-4.5</v>
      </c>
      <c r="AV10" s="71" t="s">
        <v>108</v>
      </c>
    </row>
    <row r="11" spans="2:130" ht="14.4" x14ac:dyDescent="0.3">
      <c r="B11" s="23" t="s">
        <v>7</v>
      </c>
      <c r="C11" s="2" t="s">
        <v>8</v>
      </c>
      <c r="D11" s="1">
        <v>0.1095</v>
      </c>
      <c r="E11" s="1">
        <v>0.1111</v>
      </c>
      <c r="F11" s="1">
        <v>0.99</v>
      </c>
      <c r="G11" s="1">
        <v>0.32419999999999999</v>
      </c>
      <c r="H11" s="12">
        <v>-7.3219999999999993E-2</v>
      </c>
      <c r="I11" s="1">
        <v>0.2923</v>
      </c>
      <c r="J11" s="1"/>
      <c r="L11" s="29"/>
      <c r="M11" s="29"/>
      <c r="U11" s="24" t="s">
        <v>109</v>
      </c>
      <c r="V11" s="4">
        <f t="shared" si="0"/>
        <v>1.0540925533894598</v>
      </c>
      <c r="W11" s="4">
        <f t="shared" si="0"/>
        <v>1.1952286093343936</v>
      </c>
      <c r="X11" s="4">
        <f t="shared" si="0"/>
        <v>1.4142135623730951</v>
      </c>
      <c r="Y11" s="4">
        <f t="shared" si="0"/>
        <v>1.8257418583505538</v>
      </c>
      <c r="Z11" s="10">
        <f t="shared" si="0"/>
        <v>3.1622776601683795</v>
      </c>
      <c r="AJ11" s="24" t="s">
        <v>109</v>
      </c>
      <c r="AK11" s="4">
        <f t="shared" si="1"/>
        <v>0.1</v>
      </c>
      <c r="AL11" s="4">
        <f t="shared" si="1"/>
        <v>0.3</v>
      </c>
      <c r="AM11" s="4">
        <f t="shared" si="1"/>
        <v>0.6</v>
      </c>
      <c r="AN11" s="4">
        <f t="shared" si="1"/>
        <v>1</v>
      </c>
      <c r="AO11" s="4">
        <f t="shared" si="1"/>
        <v>2</v>
      </c>
      <c r="AQ11" s="10">
        <f t="shared" si="2"/>
        <v>0.5</v>
      </c>
      <c r="AR11" s="10">
        <f t="shared" si="2"/>
        <v>1.5</v>
      </c>
      <c r="AS11" s="10">
        <f t="shared" si="2"/>
        <v>2.5</v>
      </c>
      <c r="AT11" s="10">
        <f t="shared" si="2"/>
        <v>3.5</v>
      </c>
      <c r="AU11" s="10">
        <f t="shared" si="2"/>
        <v>4.5</v>
      </c>
      <c r="AV11" s="71" t="s">
        <v>109</v>
      </c>
    </row>
    <row r="12" spans="2:130" ht="14.4" x14ac:dyDescent="0.3">
      <c r="B12" s="16" t="s">
        <v>9</v>
      </c>
      <c r="C12" s="2"/>
      <c r="D12" s="1">
        <v>0.1666</v>
      </c>
      <c r="E12" s="1">
        <v>0.16439999999999999</v>
      </c>
      <c r="F12" s="1">
        <v>1.01</v>
      </c>
      <c r="G12" s="1">
        <v>0.311</v>
      </c>
      <c r="H12" s="12">
        <v>-0.10390000000000001</v>
      </c>
      <c r="I12" s="1">
        <v>0.437</v>
      </c>
      <c r="J12" s="121" t="s">
        <v>205</v>
      </c>
      <c r="K12" s="28"/>
      <c r="L12" s="14"/>
      <c r="M12" s="5"/>
    </row>
    <row r="13" spans="2:130" ht="15.65" customHeight="1" x14ac:dyDescent="0.3">
      <c r="B13" s="16" t="s">
        <v>10</v>
      </c>
      <c r="C13" s="2"/>
      <c r="D13" s="1">
        <v>1.327</v>
      </c>
      <c r="E13" s="1">
        <v>0.29249999999999998</v>
      </c>
      <c r="F13" s="1">
        <v>4.54</v>
      </c>
      <c r="G13" s="1" t="s">
        <v>11</v>
      </c>
      <c r="H13" s="1">
        <v>0.95609999999999995</v>
      </c>
      <c r="I13" s="1">
        <v>1.9892000000000001</v>
      </c>
      <c r="J13" s="121" t="s">
        <v>201</v>
      </c>
      <c r="K13" s="40"/>
      <c r="L13" s="32"/>
    </row>
    <row r="14" spans="2:130" ht="15.65" customHeight="1" x14ac:dyDescent="0.3">
      <c r="V14" s="55"/>
      <c r="W14" s="55"/>
      <c r="X14" s="56" t="s">
        <v>105</v>
      </c>
      <c r="Y14" s="56"/>
      <c r="Z14" s="55"/>
      <c r="AA14" s="55"/>
      <c r="AB14" s="57"/>
      <c r="AC14" s="55"/>
      <c r="AD14" s="55"/>
      <c r="AE14" s="56" t="s">
        <v>106</v>
      </c>
      <c r="AG14" s="55"/>
      <c r="AH14" s="55"/>
      <c r="AI14" s="55"/>
      <c r="AJ14" s="55"/>
      <c r="AK14" s="55"/>
      <c r="AL14" s="55"/>
      <c r="AM14" s="56" t="s">
        <v>213</v>
      </c>
      <c r="AN14" s="57"/>
      <c r="AO14" s="57"/>
      <c r="AP14" s="57"/>
      <c r="AQ14" s="55"/>
      <c r="AR14" s="55"/>
      <c r="AS14" s="56" t="s">
        <v>197</v>
      </c>
      <c r="AT14" s="56"/>
      <c r="AU14" s="55"/>
      <c r="AV14" s="55"/>
      <c r="AY14" s="266" t="s">
        <v>170</v>
      </c>
      <c r="AZ14" s="267"/>
      <c r="BA14" s="267"/>
      <c r="BB14" s="267"/>
      <c r="BC14" s="267"/>
      <c r="BD14" s="267"/>
      <c r="BE14" s="268"/>
      <c r="BF14" s="277" t="s">
        <v>208</v>
      </c>
      <c r="BG14" s="278"/>
      <c r="BH14" s="281" t="s">
        <v>174</v>
      </c>
      <c r="BI14" s="282"/>
      <c r="BJ14" s="282"/>
      <c r="BK14" s="282"/>
      <c r="BL14" s="282"/>
      <c r="BM14" s="283"/>
      <c r="BN14" s="284" t="s">
        <v>150</v>
      </c>
      <c r="BO14" s="285"/>
      <c r="BP14" s="285"/>
      <c r="BQ14" s="285"/>
      <c r="BR14" s="285"/>
      <c r="BS14" s="285"/>
      <c r="BT14" s="285"/>
      <c r="BU14" s="285"/>
      <c r="BV14" s="286"/>
      <c r="BZ14" s="266" t="s">
        <v>169</v>
      </c>
      <c r="CA14" s="267"/>
      <c r="CB14" s="267"/>
      <c r="CC14" s="267"/>
      <c r="CD14" s="267"/>
      <c r="CE14" s="267"/>
      <c r="CF14" s="268"/>
      <c r="CG14" s="277" t="s">
        <v>208</v>
      </c>
      <c r="CH14" s="278"/>
      <c r="CI14" s="281" t="s">
        <v>180</v>
      </c>
      <c r="CJ14" s="282"/>
      <c r="CK14" s="282"/>
      <c r="CL14" s="282"/>
      <c r="CM14" s="282"/>
      <c r="CN14" s="283"/>
      <c r="CO14" s="284" t="s">
        <v>150</v>
      </c>
      <c r="CP14" s="285"/>
      <c r="CQ14" s="285"/>
      <c r="CR14" s="285"/>
      <c r="CS14" s="285"/>
      <c r="CT14" s="285"/>
      <c r="CU14" s="285"/>
      <c r="CV14" s="285"/>
      <c r="CW14" s="286"/>
      <c r="DA14" s="266" t="s">
        <v>173</v>
      </c>
      <c r="DB14" s="267"/>
      <c r="DC14" s="267"/>
      <c r="DD14" s="267"/>
      <c r="DE14" s="267"/>
      <c r="DF14" s="267"/>
      <c r="DG14" s="268"/>
      <c r="DH14" s="277" t="s">
        <v>208</v>
      </c>
      <c r="DI14" s="278"/>
      <c r="DJ14" s="281" t="s">
        <v>199</v>
      </c>
      <c r="DK14" s="282"/>
      <c r="DL14" s="282"/>
      <c r="DM14" s="282"/>
      <c r="DN14" s="282"/>
      <c r="DO14" s="283"/>
      <c r="DP14" s="284" t="s">
        <v>150</v>
      </c>
      <c r="DQ14" s="285"/>
      <c r="DR14" s="285"/>
      <c r="DS14" s="285"/>
      <c r="DT14" s="285"/>
      <c r="DU14" s="285"/>
      <c r="DV14" s="285"/>
      <c r="DW14" s="285"/>
      <c r="DX14" s="286"/>
    </row>
    <row r="15" spans="2:130" x14ac:dyDescent="0.3">
      <c r="B15" s="6" t="s">
        <v>82</v>
      </c>
      <c r="M15" s="7" t="s">
        <v>56</v>
      </c>
      <c r="N15" s="53"/>
      <c r="R15" s="8" t="s">
        <v>85</v>
      </c>
      <c r="S15" s="8"/>
      <c r="U15" s="36"/>
      <c r="V15" s="58"/>
      <c r="W15" s="55"/>
      <c r="X15" s="59" t="s">
        <v>195</v>
      </c>
      <c r="Y15" s="59"/>
      <c r="Z15" s="55"/>
      <c r="AA15" s="55"/>
      <c r="AB15" s="57"/>
      <c r="AC15" s="55"/>
      <c r="AD15" s="55"/>
      <c r="AE15" s="8" t="s">
        <v>191</v>
      </c>
      <c r="AF15" s="58"/>
      <c r="AG15" s="58"/>
      <c r="AH15" s="58"/>
      <c r="AI15" s="58" t="s">
        <v>75</v>
      </c>
      <c r="AJ15" s="55"/>
      <c r="AK15" s="55"/>
      <c r="AL15" s="55"/>
      <c r="AM15" s="59" t="s">
        <v>193</v>
      </c>
      <c r="AN15" s="57"/>
      <c r="AO15" s="57"/>
      <c r="AP15" s="57"/>
      <c r="AQ15" s="55"/>
      <c r="AR15" s="55"/>
      <c r="AS15" s="8" t="s">
        <v>185</v>
      </c>
      <c r="AT15" s="59"/>
      <c r="AU15" s="55"/>
      <c r="AV15" s="55"/>
      <c r="AY15" s="269" t="s">
        <v>175</v>
      </c>
      <c r="AZ15" s="271" t="s">
        <v>152</v>
      </c>
      <c r="BA15" s="273" t="s">
        <v>153</v>
      </c>
      <c r="BB15" s="274"/>
      <c r="BC15" s="275"/>
      <c r="BD15" s="276" t="s">
        <v>154</v>
      </c>
      <c r="BE15" s="276"/>
      <c r="BF15" s="106" t="s">
        <v>171</v>
      </c>
      <c r="BG15" s="107" t="s">
        <v>172</v>
      </c>
      <c r="BH15" s="273" t="str">
        <f>"Effect &amp; re-estimated "&amp;BE17&amp;"% confidence limits"</f>
        <v>Effect &amp; re-estimated 90% confidence limits</v>
      </c>
      <c r="BI15" s="274"/>
      <c r="BJ15" s="274"/>
      <c r="BK15" s="275"/>
      <c r="BL15" s="277" t="s">
        <v>155</v>
      </c>
      <c r="BM15" s="278"/>
      <c r="BN15" s="287" t="e">
        <f>"...beneficial or
substantially "&amp;BF16</f>
        <v>#VALUE!</v>
      </c>
      <c r="BO15" s="288"/>
      <c r="BP15" s="289"/>
      <c r="BQ15" s="293" t="s">
        <v>156</v>
      </c>
      <c r="BR15" s="293"/>
      <c r="BS15" s="294"/>
      <c r="BT15" s="297" t="e">
        <f>"...harmful or 
substantially "&amp;BG16</f>
        <v>#VALUE!</v>
      </c>
      <c r="BU15" s="298"/>
      <c r="BV15" s="299"/>
      <c r="BW15" s="303"/>
      <c r="BZ15" s="269" t="s">
        <v>151</v>
      </c>
      <c r="CA15" s="271" t="s">
        <v>152</v>
      </c>
      <c r="CB15" s="273" t="s">
        <v>153</v>
      </c>
      <c r="CC15" s="274"/>
      <c r="CD15" s="275"/>
      <c r="CE15" s="276" t="s">
        <v>154</v>
      </c>
      <c r="CF15" s="276"/>
      <c r="CG15" s="106" t="s">
        <v>171</v>
      </c>
      <c r="CH15" s="107" t="s">
        <v>172</v>
      </c>
      <c r="CI15" s="273" t="str">
        <f>"Effect &amp; re-estimated "&amp;CF17&amp;"% confidence limits"</f>
        <v>Effect &amp; re-estimated 90% confidence limits</v>
      </c>
      <c r="CJ15" s="274"/>
      <c r="CK15" s="274"/>
      <c r="CL15" s="275"/>
      <c r="CM15" s="277" t="s">
        <v>155</v>
      </c>
      <c r="CN15" s="278"/>
      <c r="CO15" s="287" t="e">
        <f>"...beneficial or
substantially "&amp;CG16</f>
        <v>#VALUE!</v>
      </c>
      <c r="CP15" s="288"/>
      <c r="CQ15" s="289"/>
      <c r="CR15" s="293" t="s">
        <v>156</v>
      </c>
      <c r="CS15" s="293"/>
      <c r="CT15" s="294"/>
      <c r="CU15" s="297" t="e">
        <f>"...harmful or 
substantially "&amp;CH16</f>
        <v>#VALUE!</v>
      </c>
      <c r="CV15" s="298"/>
      <c r="CW15" s="299"/>
      <c r="CX15" s="303"/>
      <c r="DA15" s="269" t="s">
        <v>151</v>
      </c>
      <c r="DB15" s="271" t="s">
        <v>152</v>
      </c>
      <c r="DC15" s="273" t="s">
        <v>153</v>
      </c>
      <c r="DD15" s="274"/>
      <c r="DE15" s="275"/>
      <c r="DF15" s="276" t="s">
        <v>154</v>
      </c>
      <c r="DG15" s="276"/>
      <c r="DH15" s="106" t="s">
        <v>171</v>
      </c>
      <c r="DI15" s="107" t="s">
        <v>172</v>
      </c>
      <c r="DJ15" s="273" t="str">
        <f>"Effect &amp; re-estimated "&amp;DG17&amp;"% confidence limits"</f>
        <v>Effect &amp; re-estimated 90% confidence limits</v>
      </c>
      <c r="DK15" s="274"/>
      <c r="DL15" s="274"/>
      <c r="DM15" s="275"/>
      <c r="DN15" s="277" t="s">
        <v>155</v>
      </c>
      <c r="DO15" s="278"/>
      <c r="DP15" s="287" t="e">
        <f>"...beneficial or
substantially "&amp;DH16</f>
        <v>#VALUE!</v>
      </c>
      <c r="DQ15" s="288"/>
      <c r="DR15" s="289"/>
      <c r="DS15" s="293" t="s">
        <v>156</v>
      </c>
      <c r="DT15" s="293"/>
      <c r="DU15" s="294"/>
      <c r="DV15" s="297" t="e">
        <f>"...harmful or 
substantially "&amp;DI16</f>
        <v>#VALUE!</v>
      </c>
      <c r="DW15" s="298"/>
      <c r="DX15" s="299"/>
      <c r="DY15" s="303"/>
    </row>
    <row r="16" spans="2:130" ht="14.4" customHeight="1" x14ac:dyDescent="0.3">
      <c r="B16" s="43"/>
      <c r="C16" s="43"/>
      <c r="D16" s="54" t="s">
        <v>2</v>
      </c>
      <c r="E16" s="54" t="s">
        <v>12</v>
      </c>
      <c r="F16" s="54" t="s">
        <v>13</v>
      </c>
      <c r="G16" s="54" t="s">
        <v>137</v>
      </c>
      <c r="H16" s="54" t="s">
        <v>22</v>
      </c>
      <c r="L16" s="54" t="s">
        <v>2</v>
      </c>
      <c r="M16" s="54" t="s">
        <v>12</v>
      </c>
      <c r="N16" s="54" t="s">
        <v>13</v>
      </c>
      <c r="R16" s="54" t="s">
        <v>84</v>
      </c>
      <c r="S16" s="8"/>
      <c r="V16" s="60" t="s">
        <v>2</v>
      </c>
      <c r="W16" s="60" t="s">
        <v>260</v>
      </c>
      <c r="X16" s="60" t="s">
        <v>261</v>
      </c>
      <c r="Y16" s="77" t="s">
        <v>231</v>
      </c>
      <c r="Z16" s="60" t="s">
        <v>61</v>
      </c>
      <c r="AA16" s="60" t="s">
        <v>60</v>
      </c>
      <c r="AC16" s="60" t="s">
        <v>2</v>
      </c>
      <c r="AD16" s="191" t="s">
        <v>260</v>
      </c>
      <c r="AE16" s="191" t="s">
        <v>261</v>
      </c>
      <c r="AF16" s="60" t="s">
        <v>61</v>
      </c>
      <c r="AG16" s="60" t="s">
        <v>60</v>
      </c>
      <c r="AH16" s="60"/>
      <c r="AI16" s="61" t="s">
        <v>83</v>
      </c>
      <c r="AJ16" s="5"/>
      <c r="AK16" s="60" t="s">
        <v>2</v>
      </c>
      <c r="AL16" s="191" t="s">
        <v>260</v>
      </c>
      <c r="AM16" s="191" t="s">
        <v>261</v>
      </c>
      <c r="AN16" s="62" t="s">
        <v>61</v>
      </c>
      <c r="AO16" s="62" t="s">
        <v>60</v>
      </c>
      <c r="AQ16" s="60" t="s">
        <v>2</v>
      </c>
      <c r="AR16" s="191" t="s">
        <v>260</v>
      </c>
      <c r="AS16" s="191" t="s">
        <v>261</v>
      </c>
      <c r="AT16" s="60" t="s">
        <v>230</v>
      </c>
      <c r="AU16" s="62" t="s">
        <v>61</v>
      </c>
      <c r="AV16" s="62" t="s">
        <v>60</v>
      </c>
      <c r="AY16" s="270"/>
      <c r="AZ16" s="272"/>
      <c r="BA16" s="87" t="s">
        <v>232</v>
      </c>
      <c r="BB16" s="88" t="s">
        <v>233</v>
      </c>
      <c r="BC16" s="93" t="s">
        <v>225</v>
      </c>
      <c r="BD16" s="89" t="s">
        <v>160</v>
      </c>
      <c r="BE16" s="90" t="s">
        <v>161</v>
      </c>
      <c r="BF16" s="91" t="e">
        <f>IF(BF17&lt;1,"decr.","incr.")</f>
        <v>#VALUE!</v>
      </c>
      <c r="BG16" s="92" t="e">
        <f>IF(BG17&gt;1,"incr.","decr.")</f>
        <v>#VALUE!</v>
      </c>
      <c r="BH16" s="83" t="s">
        <v>17</v>
      </c>
      <c r="BI16" s="90" t="s">
        <v>223</v>
      </c>
      <c r="BJ16" s="90" t="s">
        <v>224</v>
      </c>
      <c r="BK16" s="93" t="s">
        <v>225</v>
      </c>
      <c r="BL16" s="94" t="s">
        <v>164</v>
      </c>
      <c r="BM16" s="95" t="s">
        <v>165</v>
      </c>
      <c r="BN16" s="290"/>
      <c r="BO16" s="291"/>
      <c r="BP16" s="292"/>
      <c r="BQ16" s="295"/>
      <c r="BR16" s="295"/>
      <c r="BS16" s="296"/>
      <c r="BT16" s="300"/>
      <c r="BU16" s="301"/>
      <c r="BV16" s="302"/>
      <c r="BW16" s="304"/>
      <c r="BX16" s="97" t="s">
        <v>167</v>
      </c>
      <c r="BZ16" s="270"/>
      <c r="CA16" s="272"/>
      <c r="CB16" s="87" t="s">
        <v>232</v>
      </c>
      <c r="CC16" s="88" t="s">
        <v>233</v>
      </c>
      <c r="CD16" s="93" t="s">
        <v>222</v>
      </c>
      <c r="CE16" s="89" t="s">
        <v>160</v>
      </c>
      <c r="CF16" s="90" t="s">
        <v>161</v>
      </c>
      <c r="CG16" s="91" t="e">
        <f>IF(CG17&lt;0,"decr.","incr.")</f>
        <v>#VALUE!</v>
      </c>
      <c r="CH16" s="92" t="e">
        <f>IF(CH17&gt;0,"incr.","decr.")</f>
        <v>#VALUE!</v>
      </c>
      <c r="CI16" s="83" t="s">
        <v>17</v>
      </c>
      <c r="CJ16" s="90" t="s">
        <v>223</v>
      </c>
      <c r="CK16" s="90" t="s">
        <v>224</v>
      </c>
      <c r="CL16" s="93" t="s">
        <v>222</v>
      </c>
      <c r="CM16" s="94" t="s">
        <v>164</v>
      </c>
      <c r="CN16" s="95" t="s">
        <v>165</v>
      </c>
      <c r="CO16" s="290"/>
      <c r="CP16" s="291"/>
      <c r="CQ16" s="292"/>
      <c r="CR16" s="295"/>
      <c r="CS16" s="295"/>
      <c r="CT16" s="296"/>
      <c r="CU16" s="300"/>
      <c r="CV16" s="301"/>
      <c r="CW16" s="302"/>
      <c r="CX16" s="304"/>
      <c r="CY16" s="96" t="s">
        <v>167</v>
      </c>
      <c r="DA16" s="270"/>
      <c r="DB16" s="272"/>
      <c r="DC16" s="87" t="s">
        <v>232</v>
      </c>
      <c r="DD16" s="88" t="s">
        <v>233</v>
      </c>
      <c r="DE16" s="93" t="s">
        <v>222</v>
      </c>
      <c r="DF16" s="89" t="s">
        <v>160</v>
      </c>
      <c r="DG16" s="90" t="s">
        <v>161</v>
      </c>
      <c r="DH16" s="217" t="e">
        <f>IF(DH17&lt;0,"decr.","incr.")</f>
        <v>#VALUE!</v>
      </c>
      <c r="DI16" s="218" t="e">
        <f>IF(DI17&gt;0,"incr.","decr.")</f>
        <v>#VALUE!</v>
      </c>
      <c r="DJ16" s="83" t="s">
        <v>17</v>
      </c>
      <c r="DK16" s="90" t="s">
        <v>223</v>
      </c>
      <c r="DL16" s="90" t="s">
        <v>224</v>
      </c>
      <c r="DM16" s="93" t="s">
        <v>222</v>
      </c>
      <c r="DN16" s="94" t="s">
        <v>164</v>
      </c>
      <c r="DO16" s="95" t="s">
        <v>165</v>
      </c>
      <c r="DP16" s="290"/>
      <c r="DQ16" s="291"/>
      <c r="DR16" s="292"/>
      <c r="DS16" s="295"/>
      <c r="DT16" s="295"/>
      <c r="DU16" s="296"/>
      <c r="DV16" s="300"/>
      <c r="DW16" s="301"/>
      <c r="DX16" s="302"/>
      <c r="DY16" s="304"/>
      <c r="DZ16" s="96" t="s">
        <v>167</v>
      </c>
    </row>
    <row r="17" spans="2:130" ht="14.4" x14ac:dyDescent="0.3">
      <c r="B17" s="3" t="str">
        <f>B11</f>
        <v>Intercept</v>
      </c>
      <c r="C17" s="3" t="str">
        <f>C11</f>
        <v>AthleteID</v>
      </c>
      <c r="D17" s="4">
        <f>IFERROR(SQRT(D11),-SQRT(-D11))</f>
        <v>0.33090784215548597</v>
      </c>
      <c r="E17" s="4">
        <f>IFERROR(SQRT(H11),-SQRT(-H11))</f>
        <v>-0.2705919437086034</v>
      </c>
      <c r="F17" s="4">
        <f>IFERROR(SQRT(I11),-SQRT(-I11))</f>
        <v>0.54064775963653078</v>
      </c>
      <c r="G17" s="4">
        <f>D11/E11</f>
        <v>0.98559855985598555</v>
      </c>
      <c r="H17" s="4">
        <f>(100-MID($H$9,6,2))/100</f>
        <v>0.1</v>
      </c>
      <c r="L17" s="4">
        <f>EXP(D17)</f>
        <v>1.3922314813434689</v>
      </c>
      <c r="M17" s="4">
        <f t="shared" ref="M17:N17" si="3">EXP(E17)</f>
        <v>0.76292775036459559</v>
      </c>
      <c r="N17" s="4">
        <f t="shared" si="3"/>
        <v>1.7171187822557827</v>
      </c>
      <c r="R17" s="4">
        <f>$L$28/SQRT(L17)/(1+$L$28/SQRT(L17))</f>
        <v>0.73875321107988612</v>
      </c>
      <c r="S17" s="4"/>
      <c r="U17" s="24" t="str">
        <f>C17</f>
        <v>AthleteID</v>
      </c>
      <c r="V17" s="48">
        <f>$L$28*SQRT(L17)/(1+$L$28*SQRT(L17))/($L$28/SQRT(L17)/(1+$L$28/SQRT(L17)))</f>
        <v>1.0794481414826984</v>
      </c>
      <c r="W17" s="48">
        <f>EXP(LN(V17)-_xlfn.T.INV.2T(H17,999)*ABS(LN(V17))/ABS(G17))</f>
        <v>0.95003650822589281</v>
      </c>
      <c r="X17" s="48">
        <f>EXP(LN(V17)+_xlfn.T.INV.2T(H17,999)*ABS(LN(V17))/ABS(G17))</f>
        <v>1.2264879086871858</v>
      </c>
      <c r="Y17" s="48">
        <f>SQRT(X17/W17)</f>
        <v>1.1362175370486236</v>
      </c>
      <c r="Z17" s="4">
        <f>SQRT(0.9)</f>
        <v>0.94868329805051377</v>
      </c>
      <c r="AA17" s="4">
        <f>1/Z17</f>
        <v>1.0540925533894598</v>
      </c>
      <c r="AC17" s="4">
        <f t="shared" ref="AC17:AE18" si="4">D17</f>
        <v>0.33090784215548597</v>
      </c>
      <c r="AD17" s="4">
        <f t="shared" si="4"/>
        <v>-0.2705919437086034</v>
      </c>
      <c r="AE17" s="4">
        <f t="shared" si="4"/>
        <v>0.54064775963653078</v>
      </c>
      <c r="AF17" s="4">
        <f>LN(Z17*$L$28/SQRT(L17)/(1+$L$28/SQRT(L17))/(1-Z17*$L$28/SQRT(L17)/(1+$L$28/SQRT(L17)))/($L$28/SQRT(L17)))</f>
        <v>-0.1881838241636202</v>
      </c>
      <c r="AG17" s="4">
        <f>LN(AA17*$L$28/SQRT(L17)/(1+$L$28/SQRT(L17))/(1-AA17*$L$28/SQRT(L17)/(1+$L$28/SQRT(L17)))/($L$28/SQRT(L17)))</f>
        <v>0.21869095588852205</v>
      </c>
      <c r="AH17" s="4"/>
      <c r="AI17" s="4">
        <f>SQRT($D$11+$D$13*(1/($H$4*R17)+1/($H$4*(1-R17))))</f>
        <v>0.77957894425222785</v>
      </c>
      <c r="AJ17" s="5"/>
      <c r="AK17" s="4">
        <f>AC17/AI17</f>
        <v>0.42446995855293757</v>
      </c>
      <c r="AL17" s="4">
        <f>AD17/AI17</f>
        <v>-0.34710011821593667</v>
      </c>
      <c r="AM17" s="4">
        <f>AE17/AI17</f>
        <v>0.69351252188464396</v>
      </c>
      <c r="AN17" s="4">
        <v>-0.1</v>
      </c>
      <c r="AO17" s="4">
        <f>-AN17</f>
        <v>0.1</v>
      </c>
      <c r="AQ17" s="50">
        <f t="shared" ref="AQ17:AS18" si="5">10*(2*SQRT(L17)/(1+SQRT(L17))-1)</f>
        <v>0.8253875485641271</v>
      </c>
      <c r="AR17" s="50">
        <f t="shared" si="5"/>
        <v>-0.67544983104509959</v>
      </c>
      <c r="AS17" s="50">
        <f t="shared" si="5"/>
        <v>1.3434483052039692</v>
      </c>
      <c r="AT17" s="50">
        <f>(AS17-AR17)/2</f>
        <v>1.0094490681245345</v>
      </c>
      <c r="AU17" s="10">
        <f>$AQ$10</f>
        <v>-0.5</v>
      </c>
      <c r="AV17" s="10">
        <f>$AQ$11</f>
        <v>0.5</v>
      </c>
      <c r="AW17" s="6" t="str">
        <f>U17</f>
        <v>AthleteID</v>
      </c>
      <c r="AY17" s="108">
        <f>V17</f>
        <v>1.0794481414826984</v>
      </c>
      <c r="AZ17" s="109">
        <v>999</v>
      </c>
      <c r="BA17" s="108">
        <f>W17</f>
        <v>0.95003650822589281</v>
      </c>
      <c r="BB17" s="108">
        <f>X17</f>
        <v>1.2264879086871858</v>
      </c>
      <c r="BC17" s="108">
        <f>SQRT(BB17/BA17)</f>
        <v>1.1362175370486236</v>
      </c>
      <c r="BD17" s="110">
        <f>100*(1-H17)</f>
        <v>90</v>
      </c>
      <c r="BE17" s="102">
        <f>100-2*$BC$7</f>
        <v>90</v>
      </c>
      <c r="BF17" s="108" t="e">
        <f>$P$5*Z17+$Q$5*AA17</f>
        <v>#VALUE!</v>
      </c>
      <c r="BG17" s="108" t="e">
        <f>$Q$5*Z17+$P$5*AA17</f>
        <v>#VALUE!</v>
      </c>
      <c r="BH17" s="103">
        <f>AY17</f>
        <v>1.0794481414826984</v>
      </c>
      <c r="BI17" s="103">
        <f>EXP(LN(AY17)-TINV((100-BE17)/100,AZ17)*BX17)</f>
        <v>0.95003650822589281</v>
      </c>
      <c r="BJ17" s="103">
        <f>EXP(LN(AY17)+TINV((100-BE17)/100,AZ17)*BX17)</f>
        <v>1.2264879086871858</v>
      </c>
      <c r="BK17" s="103">
        <f>SQRT(BJ17/BI17)</f>
        <v>1.1362175370486236</v>
      </c>
      <c r="BL17" s="118" t="s">
        <v>204</v>
      </c>
      <c r="BM17" s="118" t="e">
        <f>IF(MIN(BN17,BT17)&gt;$BC$7,"unclear",IF(MAX(BN17,BQ17,BT17)=BN17,BP17&amp;" "&amp;BF$16,IF(MAX(BN17,BQ17,BT17)=BQ17,BS17&amp;" trivial",BV17&amp;" "&amp;BG$16)))</f>
        <v>#VALUE!</v>
      </c>
      <c r="BN17" s="98" t="e">
        <f>100*IF(LN(BF17)&gt;0,IF(LN(AY17)-LN(BF17)&gt;0,1-TDIST((LN(AY17)-LN(BF17))/BX17,AZ17,1),TDIST((LN(BF17)-LN(AY17))/BX17,AZ17,1)),IF(LN(AY17)-LN(BF17)&gt;0,TDIST((LN(AY17)-LN(BF17))/BX17,AZ17,1),1-TDIST((LN(BF17)-LN(AY17))/BX17,AZ17,1)))</f>
        <v>#VALUE!</v>
      </c>
      <c r="BO17" s="99" t="s">
        <v>166</v>
      </c>
      <c r="BP17" s="100" t="e">
        <f>IF(BN17&lt;$BA$7,$AZ$7,IF(BN17&lt;$BC$7,$BB$7,IF(BN17&lt;$BE$7,$BD$7,IF(BN17&lt;$BG$7,$BF$7,IF(BN17&lt;$BI$7,$BH$7,IF(BN17&lt;$BK$7,$BJ$7,$BL$7))))))</f>
        <v>#VALUE!</v>
      </c>
      <c r="BQ17" s="101" t="e">
        <f>100-BN17-BT17</f>
        <v>#VALUE!</v>
      </c>
      <c r="BR17" s="99" t="s">
        <v>166</v>
      </c>
      <c r="BS17" s="100" t="e">
        <f>IF(BQ17&lt;$BA$7,$AZ$7,IF(BQ17&lt;$BC$7,$BB$7,IF(BQ17&lt;$BE$7,$BD$7,IF(BQ17&lt;$BG$7,$BF$7,IF(BQ17&lt;$BI$7,$BH$7,IF(BQ17&lt;$BK$7,$BJ$7,$BL$7))))))</f>
        <v>#VALUE!</v>
      </c>
      <c r="BT17" s="98" t="e">
        <f>100*IF(LN(BG17)&gt;0,IF(LN(AY17)-LN(BG17)&gt;0,1-TDIST((LN(AY17)-LN(BG17))/BX17,AZ17,1),TDIST((LN(BG17)-LN(AY17))/BX17,AZ17,1)),IF(LN(AY17)-LN(BG17)&gt;0,TDIST((LN(AY17)-LN(BG17))/BX17,AZ17,1),1-TDIST((LN(BG17)-LN(AY17))/BX17,AZ17,1)))</f>
        <v>#VALUE!</v>
      </c>
      <c r="BU17" s="99" t="s">
        <v>166</v>
      </c>
      <c r="BV17" s="100" t="e">
        <f>IF(BT17&lt;$BA$7,$AZ$7,IF(BT17&lt;$BC$7,$BB$7,IF(BT17&lt;$BE$7,$BD$7,IF(BT17&lt;$BG$7,$BF$7,IF(BT17&lt;$BI$7,$BH$7,IF(BT17&lt;$BK$7,$BJ$7,$BL$7))))))</f>
        <v>#VALUE!</v>
      </c>
      <c r="BW17" s="115"/>
      <c r="BX17" s="105">
        <f>(LN(BB17)-LN(BA17))/2/TINV(1-BD17/100,AZ17)</f>
        <v>7.756700704175272E-2</v>
      </c>
      <c r="BY17" s="24" t="str">
        <f>U17</f>
        <v>AthleteID</v>
      </c>
      <c r="BZ17" s="111">
        <f>AK17</f>
        <v>0.42446995855293757</v>
      </c>
      <c r="CA17" s="109">
        <v>999</v>
      </c>
      <c r="CB17" s="111">
        <f>AL17</f>
        <v>-0.34710011821593667</v>
      </c>
      <c r="CC17" s="111">
        <f>AM17</f>
        <v>0.69351252188464396</v>
      </c>
      <c r="CD17" s="111">
        <f>(CC17-CB17)/2</f>
        <v>0.52030632005029032</v>
      </c>
      <c r="CE17" s="109">
        <f>100*(1-H17)</f>
        <v>90</v>
      </c>
      <c r="CF17" s="102">
        <f>100-2*$BC$7</f>
        <v>90</v>
      </c>
      <c r="CG17" s="108" t="e">
        <f>$P$5*AN17+$Q$5*AO17</f>
        <v>#VALUE!</v>
      </c>
      <c r="CH17" s="108" t="e">
        <f>$Q$5*AN17+$P$5*AO17</f>
        <v>#VALUE!</v>
      </c>
      <c r="CI17" s="117">
        <f>BZ17</f>
        <v>0.42446995855293757</v>
      </c>
      <c r="CJ17" s="117">
        <f>BZ17-TINV((100-CF17)/100,CA17)*CY17</f>
        <v>-9.5836361497352751E-2</v>
      </c>
      <c r="CK17" s="117">
        <f>BZ17+TINV((100-CF17)/100,CA17)*CY17</f>
        <v>0.94477627860322788</v>
      </c>
      <c r="CL17" s="117">
        <f>(CK17-CJ17)/2</f>
        <v>0.52030632005029032</v>
      </c>
      <c r="CM17" s="118" t="s">
        <v>204</v>
      </c>
      <c r="CN17" s="118" t="e">
        <f>IF(MIN(CO17,CU17)&gt;$BC$7,"unclear",IF(MAX(CO17,CR17,CU17)=CO17,CQ17&amp;" "&amp;CG$16,IF(MAX(CO17,CR17,CU17)=CR17,CT17&amp;" trivial",CW17&amp;" "&amp;CH$16)))</f>
        <v>#VALUE!</v>
      </c>
      <c r="CO17" s="112" t="e">
        <f>100*IF(CG17&gt;0,IF(BZ17-CG17&gt;0,1-TDIST((BZ17-CG17)/CY17,CA17,1),TDIST((CG17-BZ17)/CY17,CA17,1)),IF(BZ17-CG17&gt;0,TDIST((BZ17-CG17)/CY17,CA17,1),1-TDIST((CG17-BZ17)/CY17,CA17,1)))</f>
        <v>#VALUE!</v>
      </c>
      <c r="CP17" s="113" t="s">
        <v>166</v>
      </c>
      <c r="CQ17" s="100" t="e">
        <f>IF(CO17&lt;$BA$7,$AZ$7,IF(CO17&lt;$BC$7,$BB$7,IF(CO17&lt;$BE$7,$BD$7,IF(CO17&lt;$BG$7,$BF$7,IF(CO17&lt;$BI$7,$BH$7,IF(CO17&lt;$BK$7,$BJ$7,$BL$7))))))</f>
        <v>#VALUE!</v>
      </c>
      <c r="CR17" s="114" t="e">
        <f>100-CO17-CU17</f>
        <v>#VALUE!</v>
      </c>
      <c r="CS17" s="113" t="s">
        <v>166</v>
      </c>
      <c r="CT17" s="100" t="e">
        <f>IF(CR17&lt;$BA$7,$AZ$7,IF(CR17&lt;$BC$7,$BB$7,IF(CR17&lt;$BE$7,$BD$7,IF(CR17&lt;$BG$7,$BF$7,IF(CR17&lt;$BI$7,$BH$7,IF(CR17&lt;$BK$7,$BJ$7,$BL$7))))))</f>
        <v>#VALUE!</v>
      </c>
      <c r="CU17" s="112" t="e">
        <f>100*IF(CH17&gt;0,IF(BZ17-CH17&gt;0,1-TDIST((BZ17-CH17)/CY17,CA17,1),TDIST((CH17-BZ17)/CY17,CA17,1)),IF(BZ17-CH17&gt;0,TDIST((BZ17-CH17)/CY17,CA17,1),1-TDIST((CH17-BZ17)/CY17,CA17,1)))</f>
        <v>#VALUE!</v>
      </c>
      <c r="CV17" s="113" t="s">
        <v>166</v>
      </c>
      <c r="CW17" s="100" t="e">
        <f>IF(CU17&lt;$BA$7,$AZ$7,IF(CU17&lt;$BC$7,$BB$7,IF(CU17&lt;$BE$7,$BD$7,IF(CU17&lt;$BG$7,$BF$7,IF(CU17&lt;$BI$7,$BH$7,IF(CU17&lt;$BK$7,$BJ$7,$BL$7))))))</f>
        <v>#VALUE!</v>
      </c>
      <c r="CX17" s="115"/>
      <c r="CY17" s="105">
        <f>(CC17-CB17)/2/TINV(1-CE17/100,CA17)</f>
        <v>0.31603044915796186</v>
      </c>
      <c r="CZ17" s="24" t="str">
        <f>U17</f>
        <v>AthleteID</v>
      </c>
      <c r="DA17" s="116">
        <f>AQ17</f>
        <v>0.8253875485641271</v>
      </c>
      <c r="DB17" s="109">
        <v>999</v>
      </c>
      <c r="DC17" s="116">
        <f>AR17</f>
        <v>-0.67544983104509959</v>
      </c>
      <c r="DD17" s="116">
        <f>AS17</f>
        <v>1.3434483052039692</v>
      </c>
      <c r="DE17" s="116">
        <f>(DD17-DC17)/2</f>
        <v>1.0094490681245345</v>
      </c>
      <c r="DF17" s="109">
        <f>100*(1-H17)</f>
        <v>90</v>
      </c>
      <c r="DG17" s="102">
        <f>100-2*$BC$7</f>
        <v>90</v>
      </c>
      <c r="DH17" s="241" t="e">
        <f>$P$5*AU17+$Q$5*AV17</f>
        <v>#VALUE!</v>
      </c>
      <c r="DI17" s="241" t="e">
        <f>$Q$5*AU17+$P$5*AV17</f>
        <v>#VALUE!</v>
      </c>
      <c r="DJ17" s="104">
        <f>DA17</f>
        <v>0.8253875485641271</v>
      </c>
      <c r="DK17" s="104">
        <f>10*(2*SQRT(EXP(LN(((1+DA17/10)/(1-DA17/10))^2)-TINV((100-DG17)/100,DB17)*DZ17))/(1+SQRT(EXP(LN(((1+DA17/10)/(1-DA17/10))^2)-TINV((100-DG17)/100,DB17)*DZ17)))-1)</f>
        <v>-0.18675830631300183</v>
      </c>
      <c r="DL17" s="104">
        <f>10*(2*SQRT(EXP(LN(((1+DA17/10)/(1-DA17/10))^2)+TINV((100-DG17)/100,DB17)*DZ17))/(1+SQRT(EXP(LN(((1+DA17/10)/(1-DA17/10))^2)+TINV((100-DG17)/100,DB17)*DZ17)))-1)</f>
        <v>1.8207879223987788</v>
      </c>
      <c r="DM17" s="104">
        <f>(DL17-DK17)/2</f>
        <v>1.0037731143558903</v>
      </c>
      <c r="DN17" s="118" t="s">
        <v>204</v>
      </c>
      <c r="DO17" s="118" t="e">
        <f>IF(MIN(DP17,DV17)&gt;$BC$7,"unclear",IF(MAX(DP17,DS17,DV17)=DP17,DR17&amp;" "&amp;DH$16,IF(MAX(DP17,DS17,DV17)=DS17,DU17&amp;" trivial",DX17&amp;" "&amp;DI$16)))</f>
        <v>#VALUE!</v>
      </c>
      <c r="DP17" s="112" t="e">
        <f>100*IF(LN(((1+DH17/10)/(1-DH17/10))^2)&gt;0,IF(LN(((1+DA17/10)/(1-DA17/10))^2)-LN(((1+DH17/10)/(1-DH17/10))^2)&gt;0,1-TDIST((LN(((1+DA17/10)/(1-DA17/10))^2)-LN(((1+DH17/10)/(1-DH17/10))^2))/DZ17,DB17,1),TDIST((LN(((1+DH17/10)/(1-DH17/10))^2)-LN(((1+DA17/10)/(1-DA17/10))^2))/DZ17,DB17,1)),IF(LN(((1+DA17/10)/(1-DA17/10))^2)-LN(((1+DH17/10)/(1-DH17/10))^2)&gt;0,TDIST((LN(((1+DA17/10)/(1-DA17/10))^2)-LN(((1+DH17/10)/(1-DH17/10))^2))/DZ17,DB17,1),1-TDIST((LN(((1+DH17/10)/(1-DH17/10))^2)-LN(((1+DA17/10)/(1-DA17/10))^2))/DZ17,DB17,1)))</f>
        <v>#VALUE!</v>
      </c>
      <c r="DQ17" s="113" t="s">
        <v>166</v>
      </c>
      <c r="DR17" s="100" t="e">
        <f>IF(DP17&lt;$BA$7,$AZ$7,IF(DP17&lt;$BC$7,$BB$7,IF(DP17&lt;$BE$7,$BD$7,IF(DP17&lt;$BG$7,$BF$7,IF(DP17&lt;$BI$7,$BH$7,IF(DP17&lt;$BK$7,$BJ$7,$BL$7))))))</f>
        <v>#VALUE!</v>
      </c>
      <c r="DS17" s="114" t="e">
        <f>100-DP17-DV17</f>
        <v>#VALUE!</v>
      </c>
      <c r="DT17" s="113" t="s">
        <v>166</v>
      </c>
      <c r="DU17" s="100" t="e">
        <f>IF(DS17&lt;$BA$7,$AZ$7,IF(DS17&lt;$BC$7,$BB$7,IF(DS17&lt;$BE$7,$BD$7,IF(DS17&lt;$BG$7,$BF$7,IF(DS17&lt;$BI$7,$BH$7,IF(DS17&lt;$BK$7,$BJ$7,$BL$7))))))</f>
        <v>#VALUE!</v>
      </c>
      <c r="DV17" s="112" t="e">
        <f>100*IF(LN(((1+DI17/10)/(1-DI17/10))^2)&gt;0,IF(LN(((1+DA17/10)/(1-DA17/10))^2)-LN(((1+DI17/10)/(1-DI17/10))^2)&gt;0,1-TDIST((LN(((1+DA17/10)/(1-DA17/10))^2)-LN(((1+DI17/10)/(1-DI17/10))^2))/DZ17,DB17,1),TDIST((LN(((1+DI17/10)/(1-DI17/10))^2)-LN(((1+DA17/10)/(1-DA17/10))^2))/DZ17,DB17,1)),IF(LN(((1+DA17/10)/(1-DA17/10))^2)-LN(((1+DI17/10)/(1-DI17/10))^2)&gt;0,TDIST((LN(((1+DA17/10)/(1-DA17/10))^2)-LN(((1+DI17/10)/(1-DI17/10))^2))/DZ17,DB17,1),1-TDIST((LN(((1+DI17/10)/(1-DI17/10))^2)-LN(((1+DA17/10)/(1-DA17/10))^2))/DZ17,DB17,1)))</f>
        <v>#VALUE!</v>
      </c>
      <c r="DW17" s="113" t="s">
        <v>166</v>
      </c>
      <c r="DX17" s="100" t="e">
        <f>IF(DV17&lt;$BA$7,$AZ$7,IF(DV17&lt;$BC$7,$BB$7,IF(DV17&lt;$BE$7,$BD$7,IF(DV17&lt;$BG$7,$BF$7,IF(DV17&lt;$BI$7,$BH$7,IF(DV17&lt;$BK$7,$BJ$7,$BL$7))))))</f>
        <v>#VALUE!</v>
      </c>
      <c r="DY17" s="115"/>
      <c r="DZ17" s="105">
        <f>(LN(((1+DD17/10)/(1-DD17/10))^2)-LN(((1+DC17/10)/(1-DC17/10))^2))/2/TINV(1-DF17/100,DB17)</f>
        <v>0.24637068390612135</v>
      </c>
    </row>
    <row r="18" spans="2:130" ht="14.4" x14ac:dyDescent="0.3">
      <c r="B18" s="3" t="str">
        <f>B12</f>
        <v>GameID</v>
      </c>
      <c r="C18" s="3"/>
      <c r="D18" s="4">
        <f>IFERROR(SQRT(D12),-SQRT(-D12))</f>
        <v>0.40816663263917102</v>
      </c>
      <c r="E18" s="4">
        <f>IFERROR(SQRT(H12),-SQRT(-H12))</f>
        <v>-0.32233522922572394</v>
      </c>
      <c r="F18" s="4">
        <f>IFERROR(SQRT(I12),-SQRT(-I12))</f>
        <v>0.66105975524153637</v>
      </c>
      <c r="G18" s="4">
        <f>D12/E12</f>
        <v>1.0133819951338201</v>
      </c>
      <c r="H18" s="4">
        <f>(100-MID($H$9,6,2))/100</f>
        <v>0.1</v>
      </c>
      <c r="L18" s="4">
        <f>EXP(D18)</f>
        <v>1.5040577654050247</v>
      </c>
      <c r="M18" s="4">
        <f t="shared" ref="M18" si="6">EXP(E18)</f>
        <v>0.72445529103242146</v>
      </c>
      <c r="N18" s="4">
        <f t="shared" ref="N18" si="7">EXP(F18)</f>
        <v>1.9368438275680169</v>
      </c>
      <c r="R18" s="4">
        <f>$L$28/SQRT(L18)/(1+$L$28/SQRT(L18))</f>
        <v>0.7312294016858355</v>
      </c>
      <c r="S18" s="4"/>
      <c r="U18" s="24" t="str">
        <f>B18</f>
        <v>GameID</v>
      </c>
      <c r="V18" s="48">
        <f t="shared" ref="V18" si="8">$L$28*SQRT(L18)/(1+$L$28*SQRT(L18))/($L$28/SQRT(L18)/(1+$L$28/SQRT(L18)))</f>
        <v>1.098989991997835</v>
      </c>
      <c r="W18" s="48">
        <f>EXP(LN(V18)-_xlfn.T.INV.2T(H18,999)*ABS(LN(V18))/ABS(G18))</f>
        <v>0.94274382234884713</v>
      </c>
      <c r="X18" s="48">
        <f>EXP(LN(V18)+_xlfn.T.INV.2T(H18,999)*ABS(LN(V18))/ABS(G18))</f>
        <v>1.2811317071293227</v>
      </c>
      <c r="Y18" s="48">
        <f>SQRT(X18/W18)</f>
        <v>1.165735553970219</v>
      </c>
      <c r="Z18" s="4">
        <f>SQRT(0.9)</f>
        <v>0.94868329805051377</v>
      </c>
      <c r="AA18" s="4">
        <f>1/Z18</f>
        <v>1.0540925533894598</v>
      </c>
      <c r="AC18" s="4">
        <f t="shared" si="4"/>
        <v>0.40816663263917102</v>
      </c>
      <c r="AD18" s="4">
        <f t="shared" si="4"/>
        <v>-0.32233522922572394</v>
      </c>
      <c r="AE18" s="4">
        <f t="shared" si="4"/>
        <v>0.66105975524153637</v>
      </c>
      <c r="AF18" s="4">
        <f>LN(Z18*$L$28/SQRT(L18)/(1+$L$28/SQRT(L18))/(1-Z18*$L$28/SQRT(L18)/(1+$L$28/SQRT(L18)))/($L$28/SQRT(L18)))</f>
        <v>-0.18337033311451198</v>
      </c>
      <c r="AG18" s="4">
        <f>LN(AA18*$L$28/SQRT(L18)/(1+$L$28/SQRT(L18))/(1-AA18*$L$28/SQRT(L18)/(1+$L$28/SQRT(L18)))/($L$28/SQRT(L18)))</f>
        <v>0.21187136407206253</v>
      </c>
      <c r="AH18" s="4"/>
      <c r="AI18" s="4">
        <f>SQRT($D$11+$D$13*(1/($H$4*R18)+1/($H$4*(1-R18))))</f>
        <v>0.77380801151651724</v>
      </c>
      <c r="AJ18" s="5"/>
      <c r="AK18" s="4">
        <f>AC18/AI18</f>
        <v>0.52747790997826671</v>
      </c>
      <c r="AL18" s="4">
        <f>AD18/AI18</f>
        <v>-0.41655711032767406</v>
      </c>
      <c r="AM18" s="4">
        <f>AE18/AI18</f>
        <v>0.85429427636189026</v>
      </c>
      <c r="AN18" s="4">
        <v>-0.1</v>
      </c>
      <c r="AO18" s="4">
        <f>-AN18</f>
        <v>0.1</v>
      </c>
      <c r="AQ18" s="50">
        <f t="shared" si="5"/>
        <v>1.016889574967208</v>
      </c>
      <c r="AR18" s="50">
        <f t="shared" si="5"/>
        <v>-0.80409828835307562</v>
      </c>
      <c r="AS18" s="50">
        <f t="shared" si="5"/>
        <v>1.6377659728227134</v>
      </c>
      <c r="AT18" s="50">
        <f>(AS18-AR18)/2</f>
        <v>1.2209321305878946</v>
      </c>
      <c r="AU18" s="10">
        <f>$AQ$10</f>
        <v>-0.5</v>
      </c>
      <c r="AV18" s="10">
        <f>$AQ$11</f>
        <v>0.5</v>
      </c>
      <c r="AW18" s="6" t="str">
        <f>U18</f>
        <v>GameID</v>
      </c>
      <c r="AY18" s="108">
        <f>V18</f>
        <v>1.098989991997835</v>
      </c>
      <c r="AZ18" s="109">
        <v>999</v>
      </c>
      <c r="BA18" s="108">
        <f>W18</f>
        <v>0.94274382234884713</v>
      </c>
      <c r="BB18" s="108">
        <f>X18</f>
        <v>1.2811317071293227</v>
      </c>
      <c r="BC18" s="108">
        <f>SQRT(BB18/BA18)</f>
        <v>1.165735553970219</v>
      </c>
      <c r="BD18" s="110">
        <f>100*(1-H18)</f>
        <v>90</v>
      </c>
      <c r="BE18" s="102">
        <f>100-2*$BC$7</f>
        <v>90</v>
      </c>
      <c r="BF18" s="108" t="e">
        <f>$P$5*Z18+$Q$5*AA18</f>
        <v>#VALUE!</v>
      </c>
      <c r="BG18" s="108" t="e">
        <f>$Q$5*Z18+$P$5*AA18</f>
        <v>#VALUE!</v>
      </c>
      <c r="BH18" s="103">
        <f>AY18</f>
        <v>1.098989991997835</v>
      </c>
      <c r="BI18" s="103">
        <f>EXP(LN(AY18)-TINV((100-BE18)/100,AZ18)*BX18)</f>
        <v>0.94274382234884713</v>
      </c>
      <c r="BJ18" s="103">
        <f>EXP(LN(AY18)+TINV((100-BE18)/100,AZ18)*BX18)</f>
        <v>1.2811317071293227</v>
      </c>
      <c r="BK18" s="103">
        <f>SQRT(BJ18/BI18)</f>
        <v>1.165735553970219</v>
      </c>
      <c r="BL18" s="118" t="str">
        <f>BL17</f>
        <v>not relevant for SDs</v>
      </c>
      <c r="BM18" s="118" t="e">
        <f>IF(MIN(BN18,BT18)&gt;$BC$7,"unclear",IF(MAX(BN18,BQ18,BT18)=BN18,BP18&amp;" "&amp;BF$16,IF(MAX(BN18,BQ18,BT18)=BQ18,BS18&amp;" trivial",BV18&amp;" "&amp;BG$16)))</f>
        <v>#VALUE!</v>
      </c>
      <c r="BN18" s="98" t="e">
        <f>100*IF(LN(BF18)&gt;0,IF(LN(AY18)-LN(BF18)&gt;0,1-TDIST((LN(AY18)-LN(BF18))/BX18,AZ18,1),TDIST((LN(BF18)-LN(AY18))/BX18,AZ18,1)),IF(LN(AY18)-LN(BF18)&gt;0,TDIST((LN(AY18)-LN(BF18))/BX18,AZ18,1),1-TDIST((LN(BF18)-LN(AY18))/BX18,AZ18,1)))</f>
        <v>#VALUE!</v>
      </c>
      <c r="BO18" s="99" t="s">
        <v>166</v>
      </c>
      <c r="BP18" s="100" t="e">
        <f>IF(BN18&lt;$BA$7,$AZ$7,IF(BN18&lt;$BC$7,$BB$7,IF(BN18&lt;$BE$7,$BD$7,IF(BN18&lt;$BG$7,$BF$7,IF(BN18&lt;$BI$7,$BH$7,IF(BN18&lt;$BK$7,$BJ$7,$BL$7))))))</f>
        <v>#VALUE!</v>
      </c>
      <c r="BQ18" s="101" t="e">
        <f>100-BN18-BT18</f>
        <v>#VALUE!</v>
      </c>
      <c r="BR18" s="99" t="s">
        <v>166</v>
      </c>
      <c r="BS18" s="100" t="e">
        <f>IF(BQ18&lt;$BA$7,$AZ$7,IF(BQ18&lt;$BC$7,$BB$7,IF(BQ18&lt;$BE$7,$BD$7,IF(BQ18&lt;$BG$7,$BF$7,IF(BQ18&lt;$BI$7,$BH$7,IF(BQ18&lt;$BK$7,$BJ$7,$BL$7))))))</f>
        <v>#VALUE!</v>
      </c>
      <c r="BT18" s="98" t="e">
        <f>100*IF(LN(BG18)&gt;0,IF(LN(AY18)-LN(BG18)&gt;0,1-TDIST((LN(AY18)-LN(BG18))/BX18,AZ18,1),TDIST((LN(BG18)-LN(AY18))/BX18,AZ18,1)),IF(LN(AY18)-LN(BG18)&gt;0,TDIST((LN(AY18)-LN(BG18))/BX18,AZ18,1),1-TDIST((LN(BG18)-LN(AY18))/BX18,AZ18,1)))</f>
        <v>#VALUE!</v>
      </c>
      <c r="BU18" s="99" t="s">
        <v>166</v>
      </c>
      <c r="BV18" s="100" t="e">
        <f>IF(BT18&lt;$BA$7,$AZ$7,IF(BT18&lt;$BC$7,$BB$7,IF(BT18&lt;$BE$7,$BD$7,IF(BT18&lt;$BG$7,$BF$7,IF(BT18&lt;$BI$7,$BH$7,IF(BT18&lt;$BK$7,$BJ$7,$BL$7))))))</f>
        <v>#VALUE!</v>
      </c>
      <c r="BW18" s="115"/>
      <c r="BX18" s="105">
        <f>(LN(BB18)-LN(BA18))/2/TINV(1-BD18/100,AZ18)</f>
        <v>9.3145101621000301E-2</v>
      </c>
      <c r="BY18" s="24" t="str">
        <f>U18</f>
        <v>GameID</v>
      </c>
      <c r="BZ18" s="111">
        <f>AK18</f>
        <v>0.52747790997826671</v>
      </c>
      <c r="CA18" s="109">
        <v>999</v>
      </c>
      <c r="CB18" s="111">
        <f>AL18</f>
        <v>-0.41655711032767406</v>
      </c>
      <c r="CC18" s="111">
        <f>AM18</f>
        <v>0.85429427636189026</v>
      </c>
      <c r="CD18" s="111">
        <f>(CC18-CB18)/2</f>
        <v>0.63542569334478216</v>
      </c>
      <c r="CE18" s="109">
        <f>100*(1-H18)</f>
        <v>90</v>
      </c>
      <c r="CF18" s="102">
        <f>100-2*$BC$7</f>
        <v>90</v>
      </c>
      <c r="CG18" s="108" t="e">
        <f>$P$5*AN18+$Q$5*AO18</f>
        <v>#VALUE!</v>
      </c>
      <c r="CH18" s="108" t="e">
        <f>$Q$5*AN18+$P$5*AO18</f>
        <v>#VALUE!</v>
      </c>
      <c r="CI18" s="117">
        <f>BZ18</f>
        <v>0.52747790997826671</v>
      </c>
      <c r="CJ18" s="117">
        <f>BZ18-TINV((100-CF18)/100,CA18)*CY18</f>
        <v>-0.10794778336651545</v>
      </c>
      <c r="CK18" s="117">
        <f>BZ18+TINV((100-CF18)/100,CA18)*CY18</f>
        <v>1.1629036033230489</v>
      </c>
      <c r="CL18" s="117">
        <f>(CK18-CJ18)/2</f>
        <v>0.63542569334478216</v>
      </c>
      <c r="CM18" s="118" t="str">
        <f>CM17</f>
        <v>not relevant for SDs</v>
      </c>
      <c r="CN18" s="118" t="e">
        <f>IF(MIN(CO18,CU18)&gt;$BC$7,"unclear",IF(MAX(CO18,CR18,CU18)=CO18,CQ18&amp;" "&amp;CG$16,IF(MAX(CO18,CR18,CU18)=CR18,CT18&amp;" trivial",CW18&amp;" "&amp;CH$16)))</f>
        <v>#VALUE!</v>
      </c>
      <c r="CO18" s="112" t="e">
        <f>100*IF(CG18&gt;0,IF(BZ18-CG18&gt;0,1-TDIST((BZ18-CG18)/CY18,CA18,1),TDIST((CG18-BZ18)/CY18,CA18,1)),IF(BZ18-CG18&gt;0,TDIST((BZ18-CG18)/CY18,CA18,1),1-TDIST((CG18-BZ18)/CY18,CA18,1)))</f>
        <v>#VALUE!</v>
      </c>
      <c r="CP18" s="113" t="s">
        <v>166</v>
      </c>
      <c r="CQ18" s="100" t="e">
        <f>IF(CO18&lt;$BA$7,$AZ$7,IF(CO18&lt;$BC$7,$BB$7,IF(CO18&lt;$BE$7,$BD$7,IF(CO18&lt;$BG$7,$BF$7,IF(CO18&lt;$BI$7,$BH$7,IF(CO18&lt;$BK$7,$BJ$7,$BL$7))))))</f>
        <v>#VALUE!</v>
      </c>
      <c r="CR18" s="114" t="e">
        <f>100-CO18-CU18</f>
        <v>#VALUE!</v>
      </c>
      <c r="CS18" s="113" t="s">
        <v>166</v>
      </c>
      <c r="CT18" s="100" t="e">
        <f>IF(CR18&lt;$BA$7,$AZ$7,IF(CR18&lt;$BC$7,$BB$7,IF(CR18&lt;$BE$7,$BD$7,IF(CR18&lt;$BG$7,$BF$7,IF(CR18&lt;$BI$7,$BH$7,IF(CR18&lt;$BK$7,$BJ$7,$BL$7))))))</f>
        <v>#VALUE!</v>
      </c>
      <c r="CU18" s="112" t="e">
        <f>100*IF(CH18&gt;0,IF(BZ18-CH18&gt;0,1-TDIST((BZ18-CH18)/CY18,CA18,1),TDIST((CH18-BZ18)/CY18,CA18,1)),IF(BZ18-CH18&gt;0,TDIST((BZ18-CH18)/CY18,CA18,1),1-TDIST((CH18-BZ18)/CY18,CA18,1)))</f>
        <v>#VALUE!</v>
      </c>
      <c r="CV18" s="113" t="s">
        <v>166</v>
      </c>
      <c r="CW18" s="100" t="e">
        <f>IF(CU18&lt;$BA$7,$AZ$7,IF(CU18&lt;$BC$7,$BB$7,IF(CU18&lt;$BE$7,$BD$7,IF(CU18&lt;$BG$7,$BF$7,IF(CU18&lt;$BI$7,$BH$7,IF(CU18&lt;$BK$7,$BJ$7,$BL$7))))))</f>
        <v>#VALUE!</v>
      </c>
      <c r="CX18" s="115"/>
      <c r="CY18" s="105">
        <f>(CC18-CB18)/2/TINV(1-CE18/100,CA18)</f>
        <v>0.38595315785295697</v>
      </c>
      <c r="CZ18" s="24" t="str">
        <f>U18</f>
        <v>GameID</v>
      </c>
      <c r="DA18" s="116">
        <f>AQ18</f>
        <v>1.016889574967208</v>
      </c>
      <c r="DB18" s="109">
        <v>999</v>
      </c>
      <c r="DC18" s="116">
        <f>AR18</f>
        <v>-0.80409828835307562</v>
      </c>
      <c r="DD18" s="116">
        <f>AS18</f>
        <v>1.6377659728227134</v>
      </c>
      <c r="DE18" s="116">
        <f>(DD18-DC18)/2</f>
        <v>1.2209321305878946</v>
      </c>
      <c r="DF18" s="109">
        <f>100*(1-H18)</f>
        <v>90</v>
      </c>
      <c r="DG18" s="102">
        <f>100-2*$BC$7</f>
        <v>90</v>
      </c>
      <c r="DH18" s="241" t="e">
        <f>$P$5*AU18+$Q$5*AV18</f>
        <v>#VALUE!</v>
      </c>
      <c r="DI18" s="241" t="e">
        <f>$Q$5*AU18+$P$5*AV18</f>
        <v>#VALUE!</v>
      </c>
      <c r="DJ18" s="104">
        <f>DA18</f>
        <v>1.016889574967208</v>
      </c>
      <c r="DK18" s="104">
        <f>10*(2*SQRT(EXP(LN(((1+DA18/10)/(1-DA18/10))^2)-TINV((100-DG18)/100,DB18)*DZ18))/(1+SQRT(EXP(LN(((1+DA18/10)/(1-DA18/10))^2)-TINV((100-DG18)/100,DB18)*DZ18)))-1)</f>
        <v>-0.20879679862426226</v>
      </c>
      <c r="DL18" s="104">
        <f>10*(2*SQRT(EXP(LN(((1+DA18/10)/(1-DA18/10))^2)+TINV((100-DG18)/100,DB18)*DZ18))/(1+SQRT(EXP(LN(((1+DA18/10)/(1-DA18/10))^2)+TINV((100-DG18)/100,DB18)*DZ18)))-1)</f>
        <v>2.2124616212670767</v>
      </c>
      <c r="DM18" s="104">
        <f>(DL18-DK18)/2</f>
        <v>1.2106292099456695</v>
      </c>
      <c r="DN18" s="118" t="str">
        <f>DN17</f>
        <v>not relevant for SDs</v>
      </c>
      <c r="DO18" s="118" t="e">
        <f>IF(MIN(DP18,DV18)&gt;$BC$7,"unclear",IF(MAX(DP18,DS18,DV18)=DP18,DR18&amp;" "&amp;DH$16,IF(MAX(DP18,DS18,DV18)=DS18,DU18&amp;" trivial",DX18&amp;" "&amp;DI$16)))</f>
        <v>#VALUE!</v>
      </c>
      <c r="DP18" s="112" t="e">
        <f>100*IF(LN(((1+DH18/10)/(1-DH18/10))^2)&gt;0,IF(LN(((1+DA18/10)/(1-DA18/10))^2)-LN(((1+DH18/10)/(1-DH18/10))^2)&gt;0,1-TDIST((LN(((1+DA18/10)/(1-DA18/10))^2)-LN(((1+DH18/10)/(1-DH18/10))^2))/DZ18,DB18,1),TDIST((LN(((1+DH18/10)/(1-DH18/10))^2)-LN(((1+DA18/10)/(1-DA18/10))^2))/DZ18,DB18,1)),IF(LN(((1+DA18/10)/(1-DA18/10))^2)-LN(((1+DH18/10)/(1-DH18/10))^2)&gt;0,TDIST((LN(((1+DA18/10)/(1-DA18/10))^2)-LN(((1+DH18/10)/(1-DH18/10))^2))/DZ18,DB18,1),1-TDIST((LN(((1+DH18/10)/(1-DH18/10))^2)-LN(((1+DA18/10)/(1-DA18/10))^2))/DZ18,DB18,1)))</f>
        <v>#VALUE!</v>
      </c>
      <c r="DQ18" s="113" t="s">
        <v>166</v>
      </c>
      <c r="DR18" s="100" t="e">
        <f>IF(DP18&lt;$BA$7,$AZ$7,IF(DP18&lt;$BC$7,$BB$7,IF(DP18&lt;$BE$7,$BD$7,IF(DP18&lt;$BG$7,$BF$7,IF(DP18&lt;$BI$7,$BH$7,IF(DP18&lt;$BK$7,$BJ$7,$BL$7))))))</f>
        <v>#VALUE!</v>
      </c>
      <c r="DS18" s="114" t="e">
        <f>100-DP18-DV18</f>
        <v>#VALUE!</v>
      </c>
      <c r="DT18" s="113" t="s">
        <v>166</v>
      </c>
      <c r="DU18" s="100" t="e">
        <f>IF(DS18&lt;$BA$7,$AZ$7,IF(DS18&lt;$BC$7,$BB$7,IF(DS18&lt;$BE$7,$BD$7,IF(DS18&lt;$BG$7,$BF$7,IF(DS18&lt;$BI$7,$BH$7,IF(DS18&lt;$BK$7,$BJ$7,$BL$7))))))</f>
        <v>#VALUE!</v>
      </c>
      <c r="DV18" s="112" t="e">
        <f>100*IF(LN(((1+DI18/10)/(1-DI18/10))^2)&gt;0,IF(LN(((1+DA18/10)/(1-DA18/10))^2)-LN(((1+DI18/10)/(1-DI18/10))^2)&gt;0,1-TDIST((LN(((1+DA18/10)/(1-DA18/10))^2)-LN(((1+DI18/10)/(1-DI18/10))^2))/DZ18,DB18,1),TDIST((LN(((1+DI18/10)/(1-DI18/10))^2)-LN(((1+DA18/10)/(1-DA18/10))^2))/DZ18,DB18,1)),IF(LN(((1+DA18/10)/(1-DA18/10))^2)-LN(((1+DI18/10)/(1-DI18/10))^2)&gt;0,TDIST((LN(((1+DA18/10)/(1-DA18/10))^2)-LN(((1+DI18/10)/(1-DI18/10))^2))/DZ18,DB18,1),1-TDIST((LN(((1+DI18/10)/(1-DI18/10))^2)-LN(((1+DA18/10)/(1-DA18/10))^2))/DZ18,DB18,1)))</f>
        <v>#VALUE!</v>
      </c>
      <c r="DW18" s="113" t="s">
        <v>166</v>
      </c>
      <c r="DX18" s="100" t="e">
        <f>IF(DV18&lt;$BA$7,$AZ$7,IF(DV18&lt;$BC$7,$BB$7,IF(DV18&lt;$BE$7,$BD$7,IF(DV18&lt;$BG$7,$BF$7,IF(DV18&lt;$BI$7,$BH$7,IF(DV18&lt;$BK$7,$BJ$7,$BL$7))))))</f>
        <v>#VALUE!</v>
      </c>
      <c r="DY18" s="115"/>
      <c r="DZ18" s="105">
        <f>(LN(((1+DD18/10)/(1-DD18/10))^2)-LN(((1+DC18/10)/(1-DC18/10))^2))/2/TINV(1-DF18/100,DB18)</f>
        <v>0.29865364561671709</v>
      </c>
    </row>
    <row r="19" spans="2:130" ht="14.4" x14ac:dyDescent="0.3">
      <c r="B19" s="122" t="s">
        <v>250</v>
      </c>
      <c r="W19" s="48"/>
      <c r="X19" s="48"/>
      <c r="Y19" s="48"/>
      <c r="AC19" s="5"/>
      <c r="AD19" s="5"/>
      <c r="AE19" s="5"/>
      <c r="AF19" s="5"/>
      <c r="AG19" s="5"/>
      <c r="AH19" s="5"/>
      <c r="AI19" s="5"/>
      <c r="AJ19" s="5"/>
      <c r="AK19" s="5"/>
      <c r="AL19" s="5"/>
      <c r="AM19" s="5"/>
      <c r="AN19" s="5"/>
      <c r="AO19" s="5"/>
      <c r="BH19" s="5" t="s">
        <v>221</v>
      </c>
      <c r="CI19" s="5" t="s">
        <v>219</v>
      </c>
      <c r="DJ19" s="5" t="s">
        <v>264</v>
      </c>
    </row>
    <row r="20" spans="2:130" ht="14.4" x14ac:dyDescent="0.3">
      <c r="W20" s="48"/>
      <c r="X20" s="48"/>
      <c r="Y20" s="48"/>
      <c r="AC20" s="5"/>
      <c r="AD20" s="5"/>
      <c r="AE20" s="5"/>
      <c r="AF20" s="5"/>
      <c r="AG20" s="5"/>
      <c r="AH20" s="5"/>
      <c r="AI20" s="5"/>
      <c r="AJ20" s="5"/>
      <c r="AK20" s="5"/>
      <c r="AL20" s="5"/>
      <c r="AM20" s="5"/>
      <c r="AN20" s="5"/>
      <c r="AO20" s="5"/>
      <c r="BH20" s="5" t="s">
        <v>220</v>
      </c>
      <c r="CI20" s="5" t="s">
        <v>220</v>
      </c>
      <c r="DJ20" s="5" t="s">
        <v>220</v>
      </c>
    </row>
    <row r="21" spans="2:130" ht="14.4" x14ac:dyDescent="0.3">
      <c r="AC21" s="5"/>
      <c r="AD21" s="5"/>
      <c r="AE21" s="5"/>
      <c r="AF21" s="5"/>
      <c r="AG21" s="5"/>
      <c r="AH21" s="5"/>
      <c r="AI21" s="5"/>
      <c r="AJ21" s="5"/>
      <c r="AK21" s="5"/>
      <c r="AL21" s="5"/>
      <c r="AM21" s="5"/>
      <c r="AN21" s="5"/>
      <c r="AO21" s="5"/>
    </row>
    <row r="22" spans="2:130" ht="14.4" x14ac:dyDescent="0.3">
      <c r="W22" s="48"/>
      <c r="X22" s="48"/>
      <c r="Y22" s="48"/>
      <c r="AC22" s="5"/>
      <c r="AD22" s="5"/>
      <c r="AE22" s="5"/>
      <c r="AF22" s="5"/>
      <c r="AG22" s="5"/>
      <c r="AH22" s="5"/>
      <c r="AI22" s="5"/>
      <c r="AJ22" s="5"/>
      <c r="AK22" s="5"/>
      <c r="AL22" s="5"/>
      <c r="AM22" s="5"/>
      <c r="AN22" s="5"/>
      <c r="AO22" s="5"/>
    </row>
    <row r="23" spans="2:130" ht="14.4" x14ac:dyDescent="0.3">
      <c r="AC23" s="5"/>
      <c r="AD23" s="5"/>
      <c r="AE23" s="5"/>
      <c r="AF23" s="5"/>
      <c r="AG23" s="5"/>
      <c r="AH23" s="5"/>
      <c r="AI23" s="5"/>
      <c r="AJ23" s="5"/>
      <c r="AK23" s="5"/>
      <c r="AL23" s="5"/>
      <c r="AM23" s="5"/>
      <c r="AN23" s="5"/>
      <c r="AO23" s="5"/>
    </row>
    <row r="24" spans="2:130" ht="14.4" customHeight="1" x14ac:dyDescent="0.3">
      <c r="L24" s="5" t="s">
        <v>142</v>
      </c>
      <c r="Q24" s="18"/>
      <c r="U24" s="6" t="s">
        <v>133</v>
      </c>
      <c r="AC24" s="5"/>
      <c r="AD24" s="5"/>
      <c r="AE24" s="5"/>
      <c r="AF24" s="5"/>
      <c r="AG24" s="5"/>
      <c r="AH24" s="5"/>
      <c r="AJ24" s="204" t="s">
        <v>114</v>
      </c>
      <c r="AN24" s="5"/>
      <c r="AO24" s="5"/>
      <c r="AS24" s="7" t="s">
        <v>183</v>
      </c>
    </row>
    <row r="25" spans="2:130" ht="14.4" customHeight="1" x14ac:dyDescent="0.3">
      <c r="C25" s="265" t="s">
        <v>38</v>
      </c>
      <c r="D25" s="265"/>
      <c r="E25" s="265"/>
      <c r="F25" s="265"/>
      <c r="G25" s="265"/>
      <c r="H25" s="265"/>
      <c r="I25" s="265"/>
      <c r="J25" s="265"/>
      <c r="K25" s="265"/>
      <c r="L25" s="265"/>
      <c r="M25" s="265"/>
      <c r="N25" s="265"/>
      <c r="T25" s="47"/>
      <c r="U25" s="47"/>
      <c r="V25" s="54" t="s">
        <v>14</v>
      </c>
      <c r="W25" s="54" t="s">
        <v>62</v>
      </c>
      <c r="X25" s="54" t="s">
        <v>15</v>
      </c>
      <c r="Y25" s="54" t="s">
        <v>110</v>
      </c>
      <c r="Z25" s="54" t="s">
        <v>111</v>
      </c>
      <c r="AC25" s="5"/>
      <c r="AD25" s="5"/>
      <c r="AE25" s="5"/>
      <c r="AF25" s="5"/>
      <c r="AG25" s="5"/>
      <c r="AH25" s="5"/>
      <c r="AI25" s="47"/>
      <c r="AJ25" s="47"/>
      <c r="AK25" s="54" t="s">
        <v>14</v>
      </c>
      <c r="AL25" s="54" t="s">
        <v>62</v>
      </c>
      <c r="AM25" s="54" t="s">
        <v>15</v>
      </c>
      <c r="AN25" s="54" t="s">
        <v>110</v>
      </c>
      <c r="AO25" s="54" t="s">
        <v>111</v>
      </c>
      <c r="AQ25" s="54" t="s">
        <v>14</v>
      </c>
      <c r="AR25" s="54" t="s">
        <v>62</v>
      </c>
      <c r="AS25" s="54" t="s">
        <v>15</v>
      </c>
      <c r="AT25" s="54" t="s">
        <v>110</v>
      </c>
      <c r="AU25" s="54" t="s">
        <v>111</v>
      </c>
    </row>
    <row r="26" spans="2:130" ht="14.4" customHeight="1" x14ac:dyDescent="0.3">
      <c r="C26" s="265" t="s">
        <v>39</v>
      </c>
      <c r="D26" s="265" t="s">
        <v>2</v>
      </c>
      <c r="E26" s="2" t="s">
        <v>3</v>
      </c>
      <c r="F26" s="265" t="s">
        <v>19</v>
      </c>
      <c r="G26" s="265" t="s">
        <v>20</v>
      </c>
      <c r="H26" s="265" t="s">
        <v>21</v>
      </c>
      <c r="I26" s="265" t="s">
        <v>22</v>
      </c>
      <c r="J26" s="265" t="s">
        <v>12</v>
      </c>
      <c r="K26" s="265" t="s">
        <v>13</v>
      </c>
      <c r="L26" s="73" t="s">
        <v>40</v>
      </c>
      <c r="M26" s="73" t="s">
        <v>40</v>
      </c>
      <c r="N26" s="73" t="s">
        <v>40</v>
      </c>
      <c r="Q26" s="17" t="s">
        <v>72</v>
      </c>
      <c r="U26" s="24" t="s">
        <v>108</v>
      </c>
      <c r="V26" s="8">
        <v>0.9</v>
      </c>
      <c r="W26" s="8">
        <v>0.7</v>
      </c>
      <c r="X26" s="8">
        <v>0.5</v>
      </c>
      <c r="Y26" s="8">
        <v>0.3</v>
      </c>
      <c r="Z26" s="8">
        <v>0.1</v>
      </c>
      <c r="AC26" s="5"/>
      <c r="AD26" s="5"/>
      <c r="AE26" s="5"/>
      <c r="AF26" s="5"/>
      <c r="AG26" s="5"/>
      <c r="AH26" s="5"/>
      <c r="AJ26" s="24" t="s">
        <v>108</v>
      </c>
      <c r="AK26" s="4">
        <f>-AK27</f>
        <v>-0.2</v>
      </c>
      <c r="AL26" s="4">
        <f t="shared" ref="AL26:AO26" si="9">-AL27</f>
        <v>-0.6</v>
      </c>
      <c r="AM26" s="143">
        <f t="shared" si="9"/>
        <v>-1.2</v>
      </c>
      <c r="AN26" s="10">
        <f t="shared" si="9"/>
        <v>-2</v>
      </c>
      <c r="AO26" s="10">
        <f t="shared" si="9"/>
        <v>-4</v>
      </c>
      <c r="AQ26" s="10">
        <f>-AQ27</f>
        <v>-1</v>
      </c>
      <c r="AR26" s="10">
        <f t="shared" ref="AR26" si="10">-AR27</f>
        <v>-3</v>
      </c>
      <c r="AS26" s="10">
        <f t="shared" ref="AS26" si="11">-AS27</f>
        <v>-5</v>
      </c>
      <c r="AT26" s="10">
        <f t="shared" ref="AT26" si="12">-AT27</f>
        <v>-7</v>
      </c>
      <c r="AU26" s="10">
        <f t="shared" ref="AU26" si="13">-AU27</f>
        <v>-9</v>
      </c>
      <c r="AV26" s="71" t="s">
        <v>108</v>
      </c>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row>
    <row r="27" spans="2:130" ht="14.4" customHeight="1" x14ac:dyDescent="0.3">
      <c r="C27" s="265"/>
      <c r="D27" s="265"/>
      <c r="E27" s="2" t="s">
        <v>4</v>
      </c>
      <c r="F27" s="265"/>
      <c r="G27" s="265"/>
      <c r="H27" s="265"/>
      <c r="I27" s="265"/>
      <c r="J27" s="265"/>
      <c r="K27" s="265"/>
      <c r="L27" s="2" t="s">
        <v>2</v>
      </c>
      <c r="M27" s="2" t="s">
        <v>12</v>
      </c>
      <c r="N27" s="2" t="s">
        <v>13</v>
      </c>
      <c r="P27" s="47"/>
      <c r="Q27" s="124"/>
      <c r="R27" s="125" t="s">
        <v>2</v>
      </c>
      <c r="S27" s="3"/>
      <c r="U27" s="24" t="s">
        <v>109</v>
      </c>
      <c r="V27" s="4">
        <f>1/V26</f>
        <v>1.1111111111111112</v>
      </c>
      <c r="W27" s="4">
        <f t="shared" ref="W27:X27" si="14">1/W26</f>
        <v>1.4285714285714286</v>
      </c>
      <c r="X27" s="10">
        <f t="shared" si="14"/>
        <v>2</v>
      </c>
      <c r="Y27" s="10">
        <f>1/Y26</f>
        <v>3.3333333333333335</v>
      </c>
      <c r="Z27" s="11">
        <f>1/Z26</f>
        <v>10</v>
      </c>
      <c r="AC27" s="5"/>
      <c r="AD27" s="5"/>
      <c r="AE27" s="5"/>
      <c r="AF27" s="5"/>
      <c r="AG27" s="5"/>
      <c r="AH27" s="5"/>
      <c r="AJ27" s="24" t="s">
        <v>109</v>
      </c>
      <c r="AK27" s="4">
        <v>0.2</v>
      </c>
      <c r="AL27" s="4">
        <v>0.6</v>
      </c>
      <c r="AM27" s="143">
        <v>1.2</v>
      </c>
      <c r="AN27" s="10">
        <v>2</v>
      </c>
      <c r="AO27" s="10">
        <v>4</v>
      </c>
      <c r="AQ27" s="10">
        <v>1</v>
      </c>
      <c r="AR27" s="10">
        <v>3</v>
      </c>
      <c r="AS27" s="10">
        <v>5</v>
      </c>
      <c r="AT27" s="10">
        <v>7</v>
      </c>
      <c r="AU27" s="10">
        <v>9</v>
      </c>
      <c r="AV27" s="71" t="s">
        <v>109</v>
      </c>
    </row>
    <row r="28" spans="2:130" ht="14.4" customHeight="1" x14ac:dyDescent="0.3">
      <c r="C28" s="44" t="s">
        <v>58</v>
      </c>
      <c r="D28" s="1">
        <v>1.2050000000000001</v>
      </c>
      <c r="E28" s="1">
        <v>0.21679999999999999</v>
      </c>
      <c r="F28" s="1">
        <v>4</v>
      </c>
      <c r="G28" s="1">
        <v>5.56</v>
      </c>
      <c r="H28" s="1">
        <v>5.1000000000000004E-3</v>
      </c>
      <c r="I28" s="1">
        <v>0.1</v>
      </c>
      <c r="J28" s="1">
        <v>0.74280000000000002</v>
      </c>
      <c r="K28" s="1">
        <v>1.6671</v>
      </c>
      <c r="L28" s="41">
        <v>3.3365999999999998</v>
      </c>
      <c r="M28" s="1">
        <v>2.1017000000000001</v>
      </c>
      <c r="N28" s="1">
        <v>5.2969999999999997</v>
      </c>
      <c r="P28" s="5"/>
      <c r="Q28" s="26" t="str">
        <f>C28</f>
        <v>Mean</v>
      </c>
      <c r="R28" s="52">
        <f>L28/(1+L28)</f>
        <v>0.76940460268413047</v>
      </c>
      <c r="S28" s="52"/>
      <c r="T28" s="52"/>
      <c r="U28" s="32"/>
      <c r="AC28" s="5"/>
      <c r="AD28" s="5"/>
      <c r="AE28" s="5"/>
      <c r="AF28" s="4"/>
      <c r="AG28" s="5"/>
      <c r="AH28" s="5"/>
      <c r="AI28" s="5"/>
      <c r="AJ28" s="5"/>
      <c r="AK28" s="5"/>
      <c r="AL28" s="5"/>
      <c r="AM28" s="5"/>
      <c r="AN28" s="5"/>
      <c r="AO28" s="5"/>
    </row>
    <row r="29" spans="2:130" ht="15.65" customHeight="1" x14ac:dyDescent="0.3">
      <c r="C29" s="44"/>
      <c r="D29" s="1">
        <v>0</v>
      </c>
      <c r="E29" s="30" t="s">
        <v>64</v>
      </c>
      <c r="F29" s="30" t="s">
        <v>64</v>
      </c>
      <c r="G29" s="30" t="s">
        <v>64</v>
      </c>
      <c r="H29" s="30" t="s">
        <v>64</v>
      </c>
      <c r="I29" s="30" t="s">
        <v>64</v>
      </c>
      <c r="J29" s="30" t="s">
        <v>64</v>
      </c>
      <c r="K29" s="31" t="s">
        <v>64</v>
      </c>
      <c r="L29" s="30" t="s">
        <v>64</v>
      </c>
      <c r="M29" s="30" t="s">
        <v>64</v>
      </c>
      <c r="N29" s="30" t="s">
        <v>64</v>
      </c>
      <c r="P29" s="26"/>
      <c r="Q29" s="46"/>
      <c r="R29" s="51"/>
      <c r="S29" s="51"/>
      <c r="T29" s="51"/>
      <c r="U29" s="18"/>
      <c r="V29" s="55"/>
      <c r="W29" s="55"/>
      <c r="X29" s="56" t="s">
        <v>87</v>
      </c>
      <c r="Y29" s="56"/>
      <c r="Z29" s="55"/>
      <c r="AA29" s="55"/>
      <c r="AB29" s="57"/>
      <c r="AC29" s="55"/>
      <c r="AD29" s="55"/>
      <c r="AE29" s="56" t="s">
        <v>86</v>
      </c>
      <c r="AG29" s="55"/>
      <c r="AH29" s="55"/>
      <c r="AI29" s="55"/>
      <c r="AJ29" s="55"/>
      <c r="AK29" s="55"/>
      <c r="AL29" s="55"/>
      <c r="AM29" s="56" t="s">
        <v>194</v>
      </c>
      <c r="AN29" s="72"/>
      <c r="AO29" s="55"/>
      <c r="AP29" s="57"/>
      <c r="AQ29" s="55"/>
      <c r="AR29" s="55"/>
      <c r="AS29" s="56" t="s">
        <v>198</v>
      </c>
      <c r="AU29" s="55"/>
      <c r="AV29" s="55"/>
      <c r="AY29" s="266" t="s">
        <v>170</v>
      </c>
      <c r="AZ29" s="267"/>
      <c r="BA29" s="267"/>
      <c r="BB29" s="267"/>
      <c r="BC29" s="267"/>
      <c r="BD29" s="267"/>
      <c r="BE29" s="268"/>
      <c r="BF29" s="277" t="s">
        <v>208</v>
      </c>
      <c r="BG29" s="278"/>
      <c r="BH29" s="281" t="s">
        <v>174</v>
      </c>
      <c r="BI29" s="282"/>
      <c r="BJ29" s="282"/>
      <c r="BK29" s="282"/>
      <c r="BL29" s="282"/>
      <c r="BM29" s="283"/>
      <c r="BN29" s="284" t="s">
        <v>150</v>
      </c>
      <c r="BO29" s="285"/>
      <c r="BP29" s="285"/>
      <c r="BQ29" s="285"/>
      <c r="BR29" s="285"/>
      <c r="BS29" s="285"/>
      <c r="BT29" s="285"/>
      <c r="BU29" s="285"/>
      <c r="BV29" s="286"/>
      <c r="BZ29" s="266" t="s">
        <v>169</v>
      </c>
      <c r="CA29" s="267"/>
      <c r="CB29" s="267"/>
      <c r="CC29" s="267"/>
      <c r="CD29" s="267"/>
      <c r="CE29" s="267"/>
      <c r="CF29" s="268"/>
      <c r="CG29" s="277" t="s">
        <v>208</v>
      </c>
      <c r="CH29" s="278"/>
      <c r="CI29" s="281" t="s">
        <v>180</v>
      </c>
      <c r="CJ29" s="282"/>
      <c r="CK29" s="282"/>
      <c r="CL29" s="282"/>
      <c r="CM29" s="282"/>
      <c r="CN29" s="283"/>
      <c r="CO29" s="284" t="s">
        <v>150</v>
      </c>
      <c r="CP29" s="285"/>
      <c r="CQ29" s="285"/>
      <c r="CR29" s="285"/>
      <c r="CS29" s="285"/>
      <c r="CT29" s="285"/>
      <c r="CU29" s="285"/>
      <c r="CV29" s="285"/>
      <c r="CW29" s="286"/>
      <c r="DA29" s="266" t="s">
        <v>173</v>
      </c>
      <c r="DB29" s="267"/>
      <c r="DC29" s="267"/>
      <c r="DD29" s="267"/>
      <c r="DE29" s="267"/>
      <c r="DF29" s="267"/>
      <c r="DG29" s="268"/>
      <c r="DH29" s="277" t="s">
        <v>208</v>
      </c>
      <c r="DI29" s="278"/>
      <c r="DJ29" s="281" t="s">
        <v>199</v>
      </c>
      <c r="DK29" s="282"/>
      <c r="DL29" s="282"/>
      <c r="DM29" s="282"/>
      <c r="DN29" s="282"/>
      <c r="DO29" s="283"/>
      <c r="DP29" s="284" t="s">
        <v>150</v>
      </c>
      <c r="DQ29" s="285"/>
      <c r="DR29" s="285"/>
      <c r="DS29" s="285"/>
      <c r="DT29" s="285"/>
      <c r="DU29" s="285"/>
      <c r="DV29" s="285"/>
      <c r="DW29" s="285"/>
      <c r="DX29" s="286"/>
    </row>
    <row r="30" spans="2:130" ht="15.65" customHeight="1" x14ac:dyDescent="0.3">
      <c r="C30" s="44" t="s">
        <v>41</v>
      </c>
      <c r="D30" s="1">
        <v>1.1013999999999999</v>
      </c>
      <c r="E30" s="1">
        <v>0.36020000000000002</v>
      </c>
      <c r="F30" s="1">
        <v>41</v>
      </c>
      <c r="G30" s="1">
        <v>3.06</v>
      </c>
      <c r="H30" s="1">
        <v>3.8999999999999998E-3</v>
      </c>
      <c r="I30" s="1">
        <v>0.1</v>
      </c>
      <c r="J30" s="1">
        <v>0.49519999999999997</v>
      </c>
      <c r="K30" s="1">
        <v>1.7076</v>
      </c>
      <c r="L30" s="1">
        <v>3.0083000000000002</v>
      </c>
      <c r="M30" s="1">
        <v>1.6408</v>
      </c>
      <c r="N30" s="1">
        <v>5.5155000000000003</v>
      </c>
      <c r="P30" s="5"/>
      <c r="Q30" s="27" t="str">
        <f>C30</f>
        <v>Mean @ Week 1</v>
      </c>
      <c r="R30" s="4">
        <f>L30/(1+L30)</f>
        <v>0.75051767582266793</v>
      </c>
      <c r="S30" s="4"/>
      <c r="T30" s="4"/>
      <c r="U30" s="26" t="str">
        <f>IF(ISBLANK(C29),"",C29)</f>
        <v/>
      </c>
      <c r="V30" s="4"/>
      <c r="W30" s="5"/>
      <c r="X30" s="59" t="s">
        <v>195</v>
      </c>
      <c r="Y30" s="8"/>
      <c r="Z30" s="5"/>
      <c r="AA30" s="5"/>
      <c r="AC30" s="5"/>
      <c r="AD30" s="5"/>
      <c r="AE30" s="8" t="s">
        <v>191</v>
      </c>
      <c r="AF30" s="4"/>
      <c r="AG30" s="4"/>
      <c r="AH30" s="4"/>
      <c r="AI30" s="4" t="s">
        <v>75</v>
      </c>
      <c r="AJ30" s="5"/>
      <c r="AK30" s="5"/>
      <c r="AL30" s="5"/>
      <c r="AM30" s="59" t="s">
        <v>193</v>
      </c>
      <c r="AN30" s="5"/>
      <c r="AO30" s="5"/>
      <c r="AQ30" s="5"/>
      <c r="AR30" s="5"/>
      <c r="AS30" s="8" t="s">
        <v>184</v>
      </c>
      <c r="AT30" s="8"/>
      <c r="AU30" s="5"/>
      <c r="AV30" s="5"/>
      <c r="AY30" s="269" t="s">
        <v>175</v>
      </c>
      <c r="AZ30" s="271" t="s">
        <v>152</v>
      </c>
      <c r="BA30" s="273" t="s">
        <v>153</v>
      </c>
      <c r="BB30" s="274"/>
      <c r="BC30" s="275"/>
      <c r="BD30" s="276" t="s">
        <v>154</v>
      </c>
      <c r="BE30" s="276"/>
      <c r="BF30" s="106" t="s">
        <v>171</v>
      </c>
      <c r="BG30" s="107" t="s">
        <v>172</v>
      </c>
      <c r="BH30" s="273" t="str">
        <f>"Effect &amp; re-estimated "&amp;BE32&amp;"% confidence limits"</f>
        <v>Effect &amp; re-estimated 90% confidence limits</v>
      </c>
      <c r="BI30" s="274"/>
      <c r="BJ30" s="274"/>
      <c r="BK30" s="275"/>
      <c r="BL30" s="277" t="s">
        <v>155</v>
      </c>
      <c r="BM30" s="278"/>
      <c r="BN30" s="287" t="e">
        <f>"...beneficial or
substantially "&amp;BF31</f>
        <v>#VALUE!</v>
      </c>
      <c r="BO30" s="288"/>
      <c r="BP30" s="289"/>
      <c r="BQ30" s="293" t="s">
        <v>156</v>
      </c>
      <c r="BR30" s="293"/>
      <c r="BS30" s="294"/>
      <c r="BT30" s="297" t="e">
        <f>"...harmful or 
substantially "&amp;BG31</f>
        <v>#VALUE!</v>
      </c>
      <c r="BU30" s="298"/>
      <c r="BV30" s="299"/>
      <c r="BW30" s="303" t="s">
        <v>157</v>
      </c>
      <c r="BZ30" s="269" t="s">
        <v>151</v>
      </c>
      <c r="CA30" s="271" t="s">
        <v>152</v>
      </c>
      <c r="CB30" s="273" t="s">
        <v>153</v>
      </c>
      <c r="CC30" s="274"/>
      <c r="CD30" s="275"/>
      <c r="CE30" s="276" t="s">
        <v>154</v>
      </c>
      <c r="CF30" s="276"/>
      <c r="CG30" s="106" t="s">
        <v>171</v>
      </c>
      <c r="CH30" s="107" t="s">
        <v>172</v>
      </c>
      <c r="CI30" s="83"/>
      <c r="CJ30" s="84" t="str">
        <f>CF32&amp;"% confidence limits"</f>
        <v>90% confidence limits</v>
      </c>
      <c r="CK30" s="85"/>
      <c r="CL30" s="86"/>
      <c r="CM30" s="277" t="s">
        <v>155</v>
      </c>
      <c r="CN30" s="278"/>
      <c r="CO30" s="287" t="e">
        <f>"...beneficial or
substantially "&amp;CG31</f>
        <v>#VALUE!</v>
      </c>
      <c r="CP30" s="288"/>
      <c r="CQ30" s="289"/>
      <c r="CR30" s="293" t="s">
        <v>156</v>
      </c>
      <c r="CS30" s="293"/>
      <c r="CT30" s="294"/>
      <c r="CU30" s="297" t="e">
        <f>"...harmful or 
substantially "&amp;CH31</f>
        <v>#VALUE!</v>
      </c>
      <c r="CV30" s="298"/>
      <c r="CW30" s="299"/>
      <c r="CX30" s="303" t="s">
        <v>157</v>
      </c>
      <c r="DA30" s="269" t="s">
        <v>151</v>
      </c>
      <c r="DB30" s="271" t="s">
        <v>152</v>
      </c>
      <c r="DC30" s="273" t="s">
        <v>153</v>
      </c>
      <c r="DD30" s="274"/>
      <c r="DE30" s="275"/>
      <c r="DF30" s="276" t="s">
        <v>154</v>
      </c>
      <c r="DG30" s="276"/>
      <c r="DH30" s="106" t="s">
        <v>171</v>
      </c>
      <c r="DI30" s="107" t="s">
        <v>172</v>
      </c>
      <c r="DJ30" s="273" t="str">
        <f>"Effect &amp; re-estimated "&amp;DG32&amp;"% confidence limits"</f>
        <v>Effect &amp; re-estimated 90% confidence limits</v>
      </c>
      <c r="DK30" s="274"/>
      <c r="DL30" s="274"/>
      <c r="DM30" s="275"/>
      <c r="DN30" s="277" t="s">
        <v>155</v>
      </c>
      <c r="DO30" s="278"/>
      <c r="DP30" s="287" t="e">
        <f>"...beneficial or
substantially "&amp;DH31</f>
        <v>#VALUE!</v>
      </c>
      <c r="DQ30" s="288"/>
      <c r="DR30" s="289"/>
      <c r="DS30" s="293" t="s">
        <v>156</v>
      </c>
      <c r="DT30" s="293"/>
      <c r="DU30" s="294"/>
      <c r="DV30" s="297" t="e">
        <f>"...harmful or 
substantially "&amp;DI31</f>
        <v>#VALUE!</v>
      </c>
      <c r="DW30" s="298"/>
      <c r="DX30" s="299"/>
      <c r="DY30" s="303" t="s">
        <v>157</v>
      </c>
    </row>
    <row r="31" spans="2:130" ht="15.65" customHeight="1" x14ac:dyDescent="0.3">
      <c r="C31" s="44" t="s">
        <v>42</v>
      </c>
      <c r="D31" s="1">
        <v>1.3085</v>
      </c>
      <c r="E31" s="1">
        <v>0.35909999999999997</v>
      </c>
      <c r="F31" s="1">
        <v>41</v>
      </c>
      <c r="G31" s="1">
        <v>3.64</v>
      </c>
      <c r="H31" s="1">
        <v>6.9999999999999999E-4</v>
      </c>
      <c r="I31" s="1">
        <v>0.1</v>
      </c>
      <c r="J31" s="1">
        <v>0.70420000000000005</v>
      </c>
      <c r="K31" s="1">
        <v>1.9129</v>
      </c>
      <c r="L31" s="1">
        <v>3.7006999999999999</v>
      </c>
      <c r="M31" s="1">
        <v>2.0222000000000002</v>
      </c>
      <c r="N31" s="1">
        <v>6.7725</v>
      </c>
      <c r="P31" s="5"/>
      <c r="Q31" s="27" t="str">
        <f>C31</f>
        <v>Mean @ Week 6</v>
      </c>
      <c r="R31" s="4">
        <f>L31/(1+L31)</f>
        <v>0.78726572638117731</v>
      </c>
      <c r="S31" s="4"/>
      <c r="T31" s="4"/>
      <c r="U31" s="14"/>
      <c r="V31" s="60" t="s">
        <v>2</v>
      </c>
      <c r="W31" s="60" t="s">
        <v>12</v>
      </c>
      <c r="X31" s="60" t="s">
        <v>13</v>
      </c>
      <c r="Y31" s="77" t="s">
        <v>141</v>
      </c>
      <c r="Z31" s="60" t="s">
        <v>61</v>
      </c>
      <c r="AA31" s="60" t="s">
        <v>60</v>
      </c>
      <c r="AC31" s="60" t="s">
        <v>2</v>
      </c>
      <c r="AD31" s="60" t="s">
        <v>12</v>
      </c>
      <c r="AE31" s="60" t="s">
        <v>13</v>
      </c>
      <c r="AF31" s="60" t="s">
        <v>61</v>
      </c>
      <c r="AG31" s="60" t="s">
        <v>60</v>
      </c>
      <c r="AH31" s="60"/>
      <c r="AI31" s="61" t="s">
        <v>83</v>
      </c>
      <c r="AJ31" s="5"/>
      <c r="AK31" s="60" t="s">
        <v>2</v>
      </c>
      <c r="AL31" s="60" t="s">
        <v>12</v>
      </c>
      <c r="AM31" s="60" t="s">
        <v>13</v>
      </c>
      <c r="AN31" s="62" t="s">
        <v>61</v>
      </c>
      <c r="AO31" s="62" t="s">
        <v>60</v>
      </c>
      <c r="AQ31" s="60" t="s">
        <v>2</v>
      </c>
      <c r="AR31" s="60" t="s">
        <v>12</v>
      </c>
      <c r="AS31" s="60" t="s">
        <v>13</v>
      </c>
      <c r="AT31" s="60" t="s">
        <v>139</v>
      </c>
      <c r="AU31" s="62" t="s">
        <v>61</v>
      </c>
      <c r="AV31" s="62" t="s">
        <v>60</v>
      </c>
      <c r="AY31" s="270"/>
      <c r="AZ31" s="272"/>
      <c r="BA31" s="87" t="s">
        <v>158</v>
      </c>
      <c r="BB31" s="88" t="s">
        <v>159</v>
      </c>
      <c r="BC31" s="93" t="s">
        <v>168</v>
      </c>
      <c r="BD31" s="89" t="s">
        <v>160</v>
      </c>
      <c r="BE31" s="90" t="s">
        <v>161</v>
      </c>
      <c r="BF31" s="91" t="e">
        <f>IF(BF32&lt;1,"decr.","incr.")</f>
        <v>#VALUE!</v>
      </c>
      <c r="BG31" s="92" t="e">
        <f>IF(BG32&gt;1,"incr.","decr.")</f>
        <v>#VALUE!</v>
      </c>
      <c r="BH31" s="83" t="s">
        <v>17</v>
      </c>
      <c r="BI31" s="90" t="s">
        <v>162</v>
      </c>
      <c r="BJ31" s="90" t="s">
        <v>163</v>
      </c>
      <c r="BK31" s="93" t="s">
        <v>168</v>
      </c>
      <c r="BL31" s="94" t="s">
        <v>164</v>
      </c>
      <c r="BM31" s="95" t="s">
        <v>165</v>
      </c>
      <c r="BN31" s="290"/>
      <c r="BO31" s="291"/>
      <c r="BP31" s="292"/>
      <c r="BQ31" s="295"/>
      <c r="BR31" s="295"/>
      <c r="BS31" s="296"/>
      <c r="BT31" s="300"/>
      <c r="BU31" s="301"/>
      <c r="BV31" s="302"/>
      <c r="BW31" s="304"/>
      <c r="BX31" s="97" t="s">
        <v>167</v>
      </c>
      <c r="BZ31" s="270"/>
      <c r="CA31" s="272"/>
      <c r="CB31" s="87" t="s">
        <v>158</v>
      </c>
      <c r="CC31" s="88" t="s">
        <v>159</v>
      </c>
      <c r="CD31" s="93" t="s">
        <v>138</v>
      </c>
      <c r="CE31" s="89" t="s">
        <v>160</v>
      </c>
      <c r="CF31" s="90" t="s">
        <v>161</v>
      </c>
      <c r="CG31" s="217" t="e">
        <f>IF(CG32&lt;0,"decr.","incr.")</f>
        <v>#VALUE!</v>
      </c>
      <c r="CH31" s="218" t="e">
        <f>IF(CH32&gt;0,"incr.","decr.")</f>
        <v>#VALUE!</v>
      </c>
      <c r="CI31" s="83" t="s">
        <v>17</v>
      </c>
      <c r="CJ31" s="90" t="s">
        <v>162</v>
      </c>
      <c r="CK31" s="90" t="s">
        <v>163</v>
      </c>
      <c r="CL31" s="93" t="s">
        <v>138</v>
      </c>
      <c r="CM31" s="94" t="s">
        <v>164</v>
      </c>
      <c r="CN31" s="95" t="s">
        <v>165</v>
      </c>
      <c r="CO31" s="290"/>
      <c r="CP31" s="291"/>
      <c r="CQ31" s="292"/>
      <c r="CR31" s="295"/>
      <c r="CS31" s="295"/>
      <c r="CT31" s="296"/>
      <c r="CU31" s="300"/>
      <c r="CV31" s="301"/>
      <c r="CW31" s="302"/>
      <c r="CX31" s="304"/>
      <c r="CY31" s="96" t="s">
        <v>167</v>
      </c>
      <c r="DA31" s="270"/>
      <c r="DB31" s="272"/>
      <c r="DC31" s="87" t="s">
        <v>158</v>
      </c>
      <c r="DD31" s="88" t="s">
        <v>159</v>
      </c>
      <c r="DE31" s="93" t="s">
        <v>138</v>
      </c>
      <c r="DF31" s="89" t="s">
        <v>160</v>
      </c>
      <c r="DG31" s="90" t="s">
        <v>161</v>
      </c>
      <c r="DH31" s="217" t="e">
        <f>IF(DH32&lt;0,"decr.","incr.")</f>
        <v>#VALUE!</v>
      </c>
      <c r="DI31" s="218" t="e">
        <f>IF(DI32&gt;0,"incr.","decr.")</f>
        <v>#VALUE!</v>
      </c>
      <c r="DJ31" s="83" t="s">
        <v>17</v>
      </c>
      <c r="DK31" s="90" t="s">
        <v>162</v>
      </c>
      <c r="DL31" s="90" t="s">
        <v>163</v>
      </c>
      <c r="DM31" s="93" t="s">
        <v>138</v>
      </c>
      <c r="DN31" s="94" t="s">
        <v>164</v>
      </c>
      <c r="DO31" s="95" t="s">
        <v>165</v>
      </c>
      <c r="DP31" s="290"/>
      <c r="DQ31" s="291"/>
      <c r="DR31" s="292"/>
      <c r="DS31" s="295"/>
      <c r="DT31" s="295"/>
      <c r="DU31" s="296"/>
      <c r="DV31" s="300"/>
      <c r="DW31" s="301"/>
      <c r="DX31" s="302"/>
      <c r="DY31" s="304"/>
      <c r="DZ31" s="96" t="s">
        <v>167</v>
      </c>
    </row>
    <row r="32" spans="2:130" ht="15.65" customHeight="1" x14ac:dyDescent="0.3">
      <c r="C32" s="44" t="s">
        <v>80</v>
      </c>
      <c r="D32" s="1">
        <v>0.20710000000000001</v>
      </c>
      <c r="E32" s="1">
        <v>0.57389999999999997</v>
      </c>
      <c r="F32" s="1">
        <v>41</v>
      </c>
      <c r="G32" s="1">
        <v>0.36</v>
      </c>
      <c r="H32" s="1">
        <v>0.72</v>
      </c>
      <c r="I32" s="1">
        <v>0.1</v>
      </c>
      <c r="J32" s="12">
        <v>-0.75870000000000004</v>
      </c>
      <c r="K32" s="1">
        <v>1.173</v>
      </c>
      <c r="L32" s="1">
        <v>1.2301</v>
      </c>
      <c r="M32" s="1">
        <v>0.46829999999999999</v>
      </c>
      <c r="N32" s="1">
        <v>3.2317</v>
      </c>
      <c r="P32" s="5"/>
      <c r="R32" s="5"/>
      <c r="S32" s="5"/>
      <c r="T32" s="5"/>
      <c r="U32" s="26" t="str">
        <f>C32</f>
        <v>Week 6/Week 1</v>
      </c>
      <c r="V32" s="48">
        <f>L30*L32/(1+L30*L32)/R30</f>
        <v>1.0489521367515151</v>
      </c>
      <c r="W32" s="48">
        <f>EXP(LN(V32)-_xlfn.T.INV.2T(I32,F32)*ABS(LN(V32))/ABS(G32))</f>
        <v>0.83893814079918416</v>
      </c>
      <c r="X32" s="48">
        <f>EXP(LN(V32)+_xlfn.T.INV.2T(I32,F32)*ABS(LN(V32))/ABS(G32))</f>
        <v>1.3115395899719229</v>
      </c>
      <c r="Y32" s="48">
        <f>SQRT(X32/W32)</f>
        <v>1.2503331124655612</v>
      </c>
      <c r="Z32" s="4">
        <f>$V$26</f>
        <v>0.9</v>
      </c>
      <c r="AA32" s="4">
        <f>$V$27</f>
        <v>1.1111111111111112</v>
      </c>
      <c r="AC32" s="4">
        <f>D32</f>
        <v>0.20710000000000001</v>
      </c>
      <c r="AD32" s="4">
        <f>J32</f>
        <v>-0.75870000000000004</v>
      </c>
      <c r="AE32" s="4">
        <f>K32</f>
        <v>1.173</v>
      </c>
      <c r="AF32" s="4">
        <f>LN(Z32*R30/(1-Z32*R30)/L30)</f>
        <v>-0.36836303793392183</v>
      </c>
      <c r="AG32" s="4">
        <f>LN(AA32*R30/(1-AA32*R30)/L30)</f>
        <v>0.51220991478818323</v>
      </c>
      <c r="AH32" s="4"/>
      <c r="AI32" s="4">
        <f>SQRT($D$11+$D$13*(1/($H$4*$R30)+1/($H$4*(1-$R30))))</f>
        <v>0.78934145276431944</v>
      </c>
      <c r="AJ32" s="5"/>
      <c r="AK32" s="4">
        <f>AC32/AI32</f>
        <v>0.2623706119509166</v>
      </c>
      <c r="AL32" s="4">
        <f>AD32/AI32</f>
        <v>-0.96118099124654954</v>
      </c>
      <c r="AM32" s="4">
        <f>AE32/AI32</f>
        <v>1.4860489030344044</v>
      </c>
      <c r="AN32" s="4">
        <f>$AK$26</f>
        <v>-0.2</v>
      </c>
      <c r="AO32" s="4">
        <f>$AK$27</f>
        <v>0.2</v>
      </c>
      <c r="AQ32" s="50">
        <f>10*(2*SQRT(L32)/(1+SQRT(L32))-1)</f>
        <v>0.51727655746358847</v>
      </c>
      <c r="AR32" s="50">
        <f>10*(2*SQRT(M32)/(1+SQRT(M32))-1)</f>
        <v>-1.8741965605783351</v>
      </c>
      <c r="AS32" s="50">
        <f>10*(2*SQRT(N32)/(1+SQRT(N32))-1)</f>
        <v>2.8512527131929444</v>
      </c>
      <c r="AT32" s="50">
        <f>(AS32-AR32)/2</f>
        <v>2.3627246368856398</v>
      </c>
      <c r="AU32" s="10">
        <f>$AQ$26</f>
        <v>-1</v>
      </c>
      <c r="AV32" s="10">
        <f>$AQ$27</f>
        <v>1</v>
      </c>
      <c r="AW32" s="6" t="str">
        <f>U32</f>
        <v>Week 6/Week 1</v>
      </c>
      <c r="AY32" s="108">
        <f>V32</f>
        <v>1.0489521367515151</v>
      </c>
      <c r="AZ32" s="109">
        <f>F32</f>
        <v>41</v>
      </c>
      <c r="BA32" s="108">
        <f>W32</f>
        <v>0.83893814079918416</v>
      </c>
      <c r="BB32" s="108">
        <f>X32</f>
        <v>1.3115395899719229</v>
      </c>
      <c r="BC32" s="108">
        <f>SQRT(BB32/BA32)</f>
        <v>1.2503331124655612</v>
      </c>
      <c r="BD32" s="110">
        <f>100*(1-I32)</f>
        <v>90</v>
      </c>
      <c r="BE32" s="102">
        <f>100-2*$BC$7</f>
        <v>90</v>
      </c>
      <c r="BF32" s="108" t="e">
        <f>$P$5*Z32+$Q$5*AA32</f>
        <v>#VALUE!</v>
      </c>
      <c r="BG32" s="108" t="e">
        <f>$Q$5*Z32+$P$5*AA32</f>
        <v>#VALUE!</v>
      </c>
      <c r="BH32" s="103">
        <f>AY32</f>
        <v>1.0489521367515151</v>
      </c>
      <c r="BI32" s="103">
        <f>EXP(LN(AY32)-TINV((100-BE32)/100,AZ32)*BX32)</f>
        <v>0.83893814079918416</v>
      </c>
      <c r="BJ32" s="103">
        <f>EXP(LN(AY32)+TINV((100-BE32)/100,AZ32)*BX32)</f>
        <v>1.3115395899719229</v>
      </c>
      <c r="BK32" s="103">
        <f>SQRT(BJ32/BI32)</f>
        <v>1.2503331124655612</v>
      </c>
      <c r="BL32" s="118" t="e">
        <f>IF(BN32&lt;$BE$7,IF(MAX(BQ32,BT32)=BQ32,BS32&amp;" trivial; don't use",BV32&amp;" harmful; don't use"),IF(BT32&lt;$BA$7,BP32&amp;" beneficial; use","unclear; don't use"))</f>
        <v>#VALUE!</v>
      </c>
      <c r="BM32" s="118" t="e">
        <f>IF(MIN(BN32,BT32)&gt;$BC$7,"unclear",IF(MAX(BN32,BQ32,BT32)=BN32,BP32&amp;" "&amp;BF31,IF(MAX(BN32,BQ32,BT32)=BQ32,BS32&amp;" trivial",BV32&amp;" "&amp;BG31)))</f>
        <v>#VALUE!</v>
      </c>
      <c r="BN32" s="98" t="e">
        <f>100*IF(LN(BF32)&gt;0,IF(LN(AY32)-LN(BF32)&gt;0,1-TDIST((LN(AY32)-LN(BF32))/BX32,AZ32,1),TDIST((LN(BF32)-LN(AY32))/BX32,AZ32,1)),IF(LN(AY32)-LN(BF32)&gt;0,TDIST((LN(AY32)-LN(BF32))/BX32,AZ32,1),1-TDIST((LN(BF32)-LN(AY32))/BX32,AZ32,1)))</f>
        <v>#VALUE!</v>
      </c>
      <c r="BO32" s="99" t="s">
        <v>166</v>
      </c>
      <c r="BP32" s="100" t="e">
        <f>IF(BN32&lt;$BA$7,$AZ$7,IF(BN32&lt;$BC$7,$BB$7,IF(BN32&lt;$BE$7,$BD$7,IF(BN32&lt;$BG$7,$BF$7,IF(BN32&lt;$BI$7,$BH$7,IF(BN32&lt;$BK$7,$BJ$7,$BL$7))))))</f>
        <v>#VALUE!</v>
      </c>
      <c r="BQ32" s="101" t="e">
        <f>100-BN32-BT32</f>
        <v>#VALUE!</v>
      </c>
      <c r="BR32" s="99" t="s">
        <v>166</v>
      </c>
      <c r="BS32" s="100" t="e">
        <f>IF(BQ32&lt;$BA$7,$AZ$7,IF(BQ32&lt;$BC$7,$BB$7,IF(BQ32&lt;$BE$7,$BD$7,IF(BQ32&lt;$BG$7,$BF$7,IF(BQ32&lt;$BI$7,$BH$7,IF(BQ32&lt;$BK$7,$BJ$7,$BL$7))))))</f>
        <v>#VALUE!</v>
      </c>
      <c r="BT32" s="98" t="e">
        <f>100*IF(LN(BG32)&gt;0,IF(LN(AY32)-LN(BG32)&gt;0,1-TDIST((LN(AY32)-LN(BG32))/BX32,AZ32,1),TDIST((LN(BG32)-LN(AY32))/BX32,AZ32,1)),IF(LN(AY32)-LN(BG32)&gt;0,TDIST((LN(AY32)-LN(BG32))/BX32,AZ32,1),1-TDIST((LN(BG32)-LN(AY32))/BX32,AZ32,1)))</f>
        <v>#VALUE!</v>
      </c>
      <c r="BU32" s="99" t="s">
        <v>166</v>
      </c>
      <c r="BV32" s="100" t="e">
        <f>IF(BT32&lt;$BA$7,$AZ$7,IF(BT32&lt;$BC$7,$BB$7,IF(BT32&lt;$BE$7,$BD$7,IF(BT32&lt;$BG$7,$BF$7,IF(BT32&lt;$BI$7,$BH$7,IF(BT32&lt;$BK$7,$BJ$7,$BL$7))))))</f>
        <v>#VALUE!</v>
      </c>
      <c r="BW32" s="115" t="e">
        <f>BN32/(100-BN32)/(BT32/(100-BT32))</f>
        <v>#VALUE!</v>
      </c>
      <c r="BX32" s="105">
        <f>(LN(BB32)-LN(BA32))/2/TINV(1-BD32/100,AZ32)</f>
        <v>0.13275472464515323</v>
      </c>
      <c r="BY32" s="24" t="str">
        <f>U32</f>
        <v>Week 6/Week 1</v>
      </c>
      <c r="BZ32" s="111">
        <f>AK32</f>
        <v>0.2623706119509166</v>
      </c>
      <c r="CA32" s="109">
        <f>F32</f>
        <v>41</v>
      </c>
      <c r="CB32" s="111">
        <f>AL32</f>
        <v>-0.96118099124654954</v>
      </c>
      <c r="CC32" s="111">
        <f>AM32</f>
        <v>1.4860489030344044</v>
      </c>
      <c r="CD32" s="111">
        <f>(CC32-CB32)/2</f>
        <v>1.2236149471404769</v>
      </c>
      <c r="CE32" s="109">
        <f>100*(1-I32)</f>
        <v>90</v>
      </c>
      <c r="CF32" s="102">
        <f>100-2*$BC$7</f>
        <v>90</v>
      </c>
      <c r="CG32" s="108" t="e">
        <f>$P$5*AN32+$Q$5*AO32</f>
        <v>#VALUE!</v>
      </c>
      <c r="CH32" s="108" t="e">
        <f>$Q$5*AN32+$P$5*AO32</f>
        <v>#VALUE!</v>
      </c>
      <c r="CI32" s="117">
        <f>BZ32</f>
        <v>0.2623706119509166</v>
      </c>
      <c r="CJ32" s="117">
        <f>BZ32-TINV((100-CF32)/100,CA32)*CY32</f>
        <v>-0.96124433518956032</v>
      </c>
      <c r="CK32" s="117">
        <f>BZ32+TINV((100-CF32)/100,CA32)*CY32</f>
        <v>1.4859855590913935</v>
      </c>
      <c r="CL32" s="117">
        <f>(CK32-CJ32)/2</f>
        <v>1.2236149471404769</v>
      </c>
      <c r="CM32" s="118" t="e">
        <f>IF(CO32&lt;$BE$7,IF(MAX(CR32,CU32)=CR32,CT32&amp;" trivial; don't use",CW32&amp;" harmful; don't use"),IF(CU32&lt;$BA$7,CQ32&amp;" beneficial; use","unclear; don't use"))</f>
        <v>#VALUE!</v>
      </c>
      <c r="CN32" s="118" t="e">
        <f>IF(MIN(CO32,CU32)&gt;$BC$7,"unclear",IF(MAX(CO32,CR32,CU32)=CO32,CQ32&amp;" "&amp;CG31,IF(MAX(CO32,CR32,CU32)=CR32,CT32&amp;" trivial",CW32&amp;" "&amp;CH31)))</f>
        <v>#VALUE!</v>
      </c>
      <c r="CO32" s="112" t="e">
        <f>100*IF(CG32&gt;0,IF(BZ32-CG32&gt;0,1-TDIST((BZ32-CG32)/CY32,CA32,1),TDIST((CG32-BZ32)/CY32,CA32,1)),IF(BZ32-CG32&gt;0,TDIST((BZ32-CG32)/CY32,CA32,1),1-TDIST((CG32-BZ32)/CY32,CA32,1)))</f>
        <v>#VALUE!</v>
      </c>
      <c r="CP32" s="113" t="s">
        <v>166</v>
      </c>
      <c r="CQ32" s="100" t="e">
        <f>IF(CO32&lt;$BA$7,$AZ$7,IF(CO32&lt;$BC$7,$BB$7,IF(CO32&lt;$BE$7,$BD$7,IF(CO32&lt;$BG$7,$BF$7,IF(CO32&lt;$BI$7,$BH$7,IF(CO32&lt;$BK$7,$BJ$7,$BL$7))))))</f>
        <v>#VALUE!</v>
      </c>
      <c r="CR32" s="114" t="e">
        <f>100-CO32-CU32</f>
        <v>#VALUE!</v>
      </c>
      <c r="CS32" s="113" t="s">
        <v>166</v>
      </c>
      <c r="CT32" s="100" t="e">
        <f>IF(CR32&lt;$BA$7,$AZ$7,IF(CR32&lt;$BC$7,$BB$7,IF(CR32&lt;$BE$7,$BD$7,IF(CR32&lt;$BG$7,$BF$7,IF(CR32&lt;$BI$7,$BH$7,IF(CR32&lt;$BK$7,$BJ$7,$BL$7))))))</f>
        <v>#VALUE!</v>
      </c>
      <c r="CU32" s="112" t="e">
        <f>100*IF(CH32&gt;0,IF(BZ32-CH32&gt;0,1-TDIST((BZ32-CH32)/CY32,CA32,1),TDIST((CH32-BZ32)/CY32,CA32,1)),IF(BZ32-CH32&gt;0,TDIST((BZ32-CH32)/CY32,CA32,1),1-TDIST((CH32-BZ32)/CY32,CA32,1)))</f>
        <v>#VALUE!</v>
      </c>
      <c r="CV32" s="113" t="s">
        <v>166</v>
      </c>
      <c r="CW32" s="100" t="e">
        <f>IF(CU32&lt;$BA$7,$AZ$7,IF(CU32&lt;$BC$7,$BB$7,IF(CU32&lt;$BE$7,$BD$7,IF(CU32&lt;$BG$7,$BF$7,IF(CU32&lt;$BI$7,$BH$7,IF(CU32&lt;$BK$7,$BJ$7,$BL$7))))))</f>
        <v>#VALUE!</v>
      </c>
      <c r="CX32" s="115" t="e">
        <f>CO32/(100-CO32)/(CU32/(100-CU32))</f>
        <v>#VALUE!</v>
      </c>
      <c r="CY32" s="105">
        <f>(CC32-CB32)/2/TINV(1-CE32/100,CA32)</f>
        <v>0.72709664371974225</v>
      </c>
      <c r="CZ32" s="24" t="str">
        <f>U32</f>
        <v>Week 6/Week 1</v>
      </c>
      <c r="DA32" s="116">
        <f>AQ32</f>
        <v>0.51727655746358847</v>
      </c>
      <c r="DB32" s="109">
        <f>F32</f>
        <v>41</v>
      </c>
      <c r="DC32" s="116">
        <f>AR32</f>
        <v>-1.8741965605783351</v>
      </c>
      <c r="DD32" s="116">
        <f>AS32</f>
        <v>2.8512527131929444</v>
      </c>
      <c r="DE32" s="116">
        <f>(DD32-DC32)/2</f>
        <v>2.3627246368856398</v>
      </c>
      <c r="DF32" s="109">
        <f>100*(1-I32)</f>
        <v>90</v>
      </c>
      <c r="DG32" s="102">
        <f>100-2*$BC$7</f>
        <v>90</v>
      </c>
      <c r="DH32" s="241" t="e">
        <f>$P$5*AU32+$Q$5*AV32</f>
        <v>#VALUE!</v>
      </c>
      <c r="DI32" s="241" t="e">
        <f>$Q$5*AU32+$P$5*AV32</f>
        <v>#VALUE!</v>
      </c>
      <c r="DJ32" s="104">
        <f>DA32</f>
        <v>0.51727655746358847</v>
      </c>
      <c r="DK32" s="104">
        <f>10*(2*SQRT(EXP(LN(((1+DA32/10)/(1-DA32/10))^2)-TINV((100-DG32)/100,DB32)*DZ32))/(1+SQRT(EXP(LN(((1+DA32/10)/(1-DA32/10))^2)-TINV((100-DG32)/100,DB32)*DZ32)))-1)</f>
        <v>-1.8744030644570409</v>
      </c>
      <c r="DL32" s="104">
        <f>10*(2*SQRT(EXP(LN(((1+DA32/10)/(1-DA32/10))^2)+TINV((100-DG32)/100,DB32)*DZ32))/(1+SQRT(EXP(LN(((1+DA32/10)/(1-DA32/10))^2)+TINV((100-DG32)/100,DB32)*DZ32)))-1)</f>
        <v>2.8510560887670056</v>
      </c>
      <c r="DM32" s="104">
        <f>(DL32-DK32)/2</f>
        <v>2.3627295766120233</v>
      </c>
      <c r="DN32" s="118" t="e">
        <f>IF(DP32&lt;$BE$7,IF(MAX(DS32,DV32)=DS32,DU32&amp;" trivial; don't use",DX32&amp;" harmful; don't use"),IF(DV32&lt;$BA$7,DR32&amp;" beneficial; use","unclear; don't use"))</f>
        <v>#VALUE!</v>
      </c>
      <c r="DO32" s="118" t="e">
        <f>IF(MIN(DP32,DV32)&gt;$BC$7,"unclear",IF(MAX(DP32,DS32,DV32)=DP32,DR32&amp;" "&amp;DH31,IF(MAX(DP32,DS32,DV32)=DS32,DU32&amp;" trivial",DX32&amp;" "&amp;DI31)))</f>
        <v>#VALUE!</v>
      </c>
      <c r="DP32" s="112" t="e">
        <f>100*IF(LN(((1+DH32/10)/(1-DH32/10))^2)&gt;0,IF(LN(((1+DA32/10)/(1-DA32/10))^2)-LN(((1+DH32/10)/(1-DH32/10))^2)&gt;0,1-TDIST((LN(((1+DA32/10)/(1-DA32/10))^2)-LN(((1+DH32/10)/(1-DH32/10))^2))/DZ32,DB32,1),TDIST((LN(((1+DH32/10)/(1-DH32/10))^2)-LN(((1+DA32/10)/(1-DA32/10))^2))/DZ32,DB32,1)),IF(LN(((1+DA32/10)/(1-DA32/10))^2)-LN(((1+DH32/10)/(1-DH32/10))^2)&gt;0,TDIST((LN(((1+DA32/10)/(1-DA32/10))^2)-LN(((1+DH32/10)/(1-DH32/10))^2))/DZ32,DB32,1),1-TDIST((LN(((1+DH32/10)/(1-DH32/10))^2)-LN(((1+DA32/10)/(1-DA32/10))^2))/DZ32,DB32,1)))</f>
        <v>#VALUE!</v>
      </c>
      <c r="DQ32" s="113" t="s">
        <v>166</v>
      </c>
      <c r="DR32" s="100" t="e">
        <f>IF(DP32&lt;$BA$7,$AZ$7,IF(DP32&lt;$BC$7,$BB$7,IF(DP32&lt;$BE$7,$BD$7,IF(DP32&lt;$BG$7,$BF$7,IF(DP32&lt;$BI$7,$BH$7,IF(DP32&lt;$BK$7,$BJ$7,$BL$7))))))</f>
        <v>#VALUE!</v>
      </c>
      <c r="DS32" s="114" t="e">
        <f>100-DP32-DV32</f>
        <v>#VALUE!</v>
      </c>
      <c r="DT32" s="113" t="s">
        <v>166</v>
      </c>
      <c r="DU32" s="100" t="e">
        <f>IF(DS32&lt;$BA$7,$AZ$7,IF(DS32&lt;$BC$7,$BB$7,IF(DS32&lt;$BE$7,$BD$7,IF(DS32&lt;$BG$7,$BF$7,IF(DS32&lt;$BI$7,$BH$7,IF(DS32&lt;$BK$7,$BJ$7,$BL$7))))))</f>
        <v>#VALUE!</v>
      </c>
      <c r="DV32" s="112" t="e">
        <f>100*IF(LN(((1+DI32/10)/(1-DI32/10))^2)&gt;0,IF(LN(((1+DA32/10)/(1-DA32/10))^2)-LN(((1+DI32/10)/(1-DI32/10))^2)&gt;0,1-TDIST((LN(((1+DA32/10)/(1-DA32/10))^2)-LN(((1+DI32/10)/(1-DI32/10))^2))/DZ32,DB32,1),TDIST((LN(((1+DI32/10)/(1-DI32/10))^2)-LN(((1+DA32/10)/(1-DA32/10))^2))/DZ32,DB32,1)),IF(LN(((1+DA32/10)/(1-DA32/10))^2)-LN(((1+DI32/10)/(1-DI32/10))^2)&gt;0,TDIST((LN(((1+DA32/10)/(1-DA32/10))^2)-LN(((1+DI32/10)/(1-DI32/10))^2))/DZ32,DB32,1),1-TDIST((LN(((1+DI32/10)/(1-DI32/10))^2)-LN(((1+DA32/10)/(1-DA32/10))^2))/DZ32,DB32,1)))</f>
        <v>#VALUE!</v>
      </c>
      <c r="DW32" s="113" t="s">
        <v>166</v>
      </c>
      <c r="DX32" s="100" t="e">
        <f>IF(DV32&lt;$BA$7,$AZ$7,IF(DV32&lt;$BC$7,$BB$7,IF(DV32&lt;$BE$7,$BD$7,IF(DV32&lt;$BG$7,$BF$7,IF(DV32&lt;$BI$7,$BH$7,IF(DV32&lt;$BK$7,$BJ$7,$BL$7))))))</f>
        <v>#VALUE!</v>
      </c>
      <c r="DY32" s="115" t="e">
        <f>DP32/(100-DP32)/(DV32/(100-DV32))</f>
        <v>#VALUE!</v>
      </c>
      <c r="DZ32" s="105">
        <f>(LN(((1+DD32/10)/(1-DD32/10))^2)-LN(((1+DC32/10)/(1-DC32/10))^2))/2/TINV(1-DF32/100,DB32)</f>
        <v>0.5739139958194005</v>
      </c>
    </row>
    <row r="33" spans="3:130" ht="15.65" customHeight="1" x14ac:dyDescent="0.3">
      <c r="C33" s="16"/>
      <c r="D33" s="1">
        <v>0</v>
      </c>
      <c r="E33" s="30" t="s">
        <v>64</v>
      </c>
      <c r="F33" s="30" t="s">
        <v>64</v>
      </c>
      <c r="G33" s="30" t="s">
        <v>64</v>
      </c>
      <c r="H33" s="30" t="s">
        <v>64</v>
      </c>
      <c r="I33" s="30" t="s">
        <v>64</v>
      </c>
      <c r="J33" s="30" t="s">
        <v>64</v>
      </c>
      <c r="K33" s="31" t="s">
        <v>64</v>
      </c>
      <c r="L33" s="30" t="s">
        <v>64</v>
      </c>
      <c r="M33" s="30" t="s">
        <v>64</v>
      </c>
      <c r="N33" s="30" t="s">
        <v>64</v>
      </c>
      <c r="P33" s="26"/>
      <c r="Q33" s="46"/>
      <c r="R33" s="51"/>
      <c r="S33" s="51"/>
      <c r="T33" s="51"/>
      <c r="U33" s="18"/>
      <c r="Z33" s="5"/>
      <c r="AA33" s="5"/>
      <c r="AC33" s="5"/>
      <c r="AD33" s="5"/>
      <c r="AE33" s="7"/>
      <c r="AF33" s="5"/>
      <c r="AG33" s="5"/>
      <c r="AH33" s="5"/>
      <c r="AI33" s="8"/>
      <c r="AJ33" s="5"/>
      <c r="AK33" s="5"/>
      <c r="AL33" s="5"/>
      <c r="AM33" s="5"/>
      <c r="AN33" s="9"/>
      <c r="AO33" s="5"/>
      <c r="AS33" s="33"/>
      <c r="AT33" s="50"/>
      <c r="AU33" s="5"/>
      <c r="AV33" s="5"/>
      <c r="AY33" s="266" t="s">
        <v>170</v>
      </c>
      <c r="AZ33" s="267"/>
      <c r="BA33" s="267"/>
      <c r="BB33" s="267"/>
      <c r="BC33" s="267"/>
      <c r="BD33" s="267"/>
      <c r="BE33" s="268"/>
      <c r="BF33" s="277" t="s">
        <v>208</v>
      </c>
      <c r="BG33" s="278"/>
      <c r="BH33" s="281" t="s">
        <v>174</v>
      </c>
      <c r="BI33" s="282"/>
      <c r="BJ33" s="282"/>
      <c r="BK33" s="282"/>
      <c r="BL33" s="282"/>
      <c r="BM33" s="283"/>
      <c r="BN33" s="284" t="s">
        <v>150</v>
      </c>
      <c r="BO33" s="285"/>
      <c r="BP33" s="285"/>
      <c r="BQ33" s="285"/>
      <c r="BR33" s="285"/>
      <c r="BS33" s="285"/>
      <c r="BT33" s="285"/>
      <c r="BU33" s="285"/>
      <c r="BV33" s="286"/>
      <c r="BZ33" s="266" t="s">
        <v>169</v>
      </c>
      <c r="CA33" s="267"/>
      <c r="CB33" s="267"/>
      <c r="CC33" s="267"/>
      <c r="CD33" s="267"/>
      <c r="CE33" s="267"/>
      <c r="CF33" s="268"/>
      <c r="CG33" s="277" t="s">
        <v>208</v>
      </c>
      <c r="CH33" s="278"/>
      <c r="CI33" s="281" t="s">
        <v>180</v>
      </c>
      <c r="CJ33" s="282"/>
      <c r="CK33" s="282"/>
      <c r="CL33" s="282"/>
      <c r="CM33" s="282"/>
      <c r="CN33" s="283"/>
      <c r="CO33" s="284" t="s">
        <v>150</v>
      </c>
      <c r="CP33" s="285"/>
      <c r="CQ33" s="285"/>
      <c r="CR33" s="285"/>
      <c r="CS33" s="285"/>
      <c r="CT33" s="285"/>
      <c r="CU33" s="285"/>
      <c r="CV33" s="285"/>
      <c r="CW33" s="286"/>
      <c r="DA33" s="266" t="s">
        <v>173</v>
      </c>
      <c r="DB33" s="267"/>
      <c r="DC33" s="267"/>
      <c r="DD33" s="267"/>
      <c r="DE33" s="267"/>
      <c r="DF33" s="267"/>
      <c r="DG33" s="268"/>
      <c r="DH33" s="277" t="s">
        <v>208</v>
      </c>
      <c r="DI33" s="278"/>
      <c r="DJ33" s="281" t="s">
        <v>199</v>
      </c>
      <c r="DK33" s="282"/>
      <c r="DL33" s="282"/>
      <c r="DM33" s="282"/>
      <c r="DN33" s="282"/>
      <c r="DO33" s="283"/>
      <c r="DP33" s="284" t="s">
        <v>150</v>
      </c>
      <c r="DQ33" s="285"/>
      <c r="DR33" s="285"/>
      <c r="DS33" s="285"/>
      <c r="DT33" s="285"/>
      <c r="DU33" s="285"/>
      <c r="DV33" s="285"/>
      <c r="DW33" s="285"/>
      <c r="DX33" s="286"/>
    </row>
    <row r="34" spans="3:130" ht="14.4" customHeight="1" x14ac:dyDescent="0.3">
      <c r="C34" s="16" t="s">
        <v>43</v>
      </c>
      <c r="D34" s="1">
        <v>1.4025000000000001</v>
      </c>
      <c r="E34" s="1">
        <v>0.26719999999999999</v>
      </c>
      <c r="F34" s="1">
        <v>41</v>
      </c>
      <c r="G34" s="1">
        <v>5.25</v>
      </c>
      <c r="H34" s="1" t="s">
        <v>11</v>
      </c>
      <c r="I34" s="1">
        <v>0.1</v>
      </c>
      <c r="J34" s="1">
        <v>0.95279999999999998</v>
      </c>
      <c r="K34" s="1">
        <v>1.8522000000000001</v>
      </c>
      <c r="L34" s="1">
        <v>4.0655000000000001</v>
      </c>
      <c r="M34" s="1">
        <v>2.593</v>
      </c>
      <c r="N34" s="1">
        <v>6.3741000000000003</v>
      </c>
      <c r="P34" s="5"/>
      <c r="Q34" s="27" t="str">
        <f>C34</f>
        <v>Mean @ -1SD MTPf</v>
      </c>
      <c r="R34" s="4">
        <f>L34/(1+L34)</f>
        <v>0.80258612180436284</v>
      </c>
      <c r="S34" s="4"/>
      <c r="T34" s="4"/>
      <c r="U34" s="26" t="str">
        <f>IF(ISBLANK(C33),"",C33)</f>
        <v/>
      </c>
      <c r="V34" s="4"/>
      <c r="W34" s="5"/>
      <c r="X34" s="59" t="s">
        <v>195</v>
      </c>
      <c r="Y34" s="8"/>
      <c r="Z34" s="5"/>
      <c r="AA34" s="5"/>
      <c r="AC34" s="5"/>
      <c r="AD34" s="5"/>
      <c r="AE34" s="8" t="s">
        <v>191</v>
      </c>
      <c r="AF34" s="4"/>
      <c r="AG34" s="4"/>
      <c r="AH34" s="4"/>
      <c r="AI34" s="4" t="s">
        <v>75</v>
      </c>
      <c r="AJ34" s="5"/>
      <c r="AK34" s="55"/>
      <c r="AL34" s="55"/>
      <c r="AM34" s="59" t="s">
        <v>193</v>
      </c>
      <c r="AN34" s="55"/>
      <c r="AO34" s="55"/>
      <c r="AQ34" s="5"/>
      <c r="AR34" s="5"/>
      <c r="AS34" s="8" t="s">
        <v>184</v>
      </c>
      <c r="AT34" s="8"/>
      <c r="AU34" s="5"/>
      <c r="AV34" s="5"/>
      <c r="AY34" s="269" t="s">
        <v>175</v>
      </c>
      <c r="AZ34" s="271" t="s">
        <v>152</v>
      </c>
      <c r="BA34" s="273" t="s">
        <v>153</v>
      </c>
      <c r="BB34" s="274"/>
      <c r="BC34" s="275"/>
      <c r="BD34" s="306" t="s">
        <v>154</v>
      </c>
      <c r="BE34" s="307"/>
      <c r="BF34" s="106" t="s">
        <v>171</v>
      </c>
      <c r="BG34" s="107" t="s">
        <v>172</v>
      </c>
      <c r="BH34" s="273" t="str">
        <f>"Effect &amp; re-estimated "&amp;BE36&amp;"% confidence limits"</f>
        <v>Effect &amp; re-estimated 90% confidence limits</v>
      </c>
      <c r="BI34" s="274"/>
      <c r="BJ34" s="274"/>
      <c r="BK34" s="275"/>
      <c r="BL34" s="277" t="s">
        <v>155</v>
      </c>
      <c r="BM34" s="278"/>
      <c r="BN34" s="287" t="e">
        <f>"...beneficial or
substantially "&amp;BF35</f>
        <v>#VALUE!</v>
      </c>
      <c r="BO34" s="288"/>
      <c r="BP34" s="289"/>
      <c r="BQ34" s="311" t="s">
        <v>156</v>
      </c>
      <c r="BR34" s="293"/>
      <c r="BS34" s="294"/>
      <c r="BT34" s="297" t="e">
        <f>"...harmful or 
substantially "&amp;BG35</f>
        <v>#VALUE!</v>
      </c>
      <c r="BU34" s="298"/>
      <c r="BV34" s="299"/>
      <c r="BW34" s="303" t="s">
        <v>157</v>
      </c>
      <c r="BZ34" s="269" t="s">
        <v>151</v>
      </c>
      <c r="CA34" s="271" t="s">
        <v>152</v>
      </c>
      <c r="CB34" s="273" t="s">
        <v>153</v>
      </c>
      <c r="CC34" s="274"/>
      <c r="CD34" s="275"/>
      <c r="CE34" s="306" t="s">
        <v>154</v>
      </c>
      <c r="CF34" s="307"/>
      <c r="CG34" s="106" t="s">
        <v>171</v>
      </c>
      <c r="CH34" s="107" t="s">
        <v>172</v>
      </c>
      <c r="CI34" s="273" t="str">
        <f>"Effect &amp; re-estimated "&amp;CF36&amp;"% confidence limits"</f>
        <v>Effect &amp; re-estimated 90% confidence limits</v>
      </c>
      <c r="CJ34" s="274"/>
      <c r="CK34" s="274"/>
      <c r="CL34" s="275"/>
      <c r="CM34" s="277" t="s">
        <v>155</v>
      </c>
      <c r="CN34" s="278"/>
      <c r="CO34" s="287" t="e">
        <f>"...beneficial or
substantially "&amp;CG35</f>
        <v>#VALUE!</v>
      </c>
      <c r="CP34" s="288"/>
      <c r="CQ34" s="289"/>
      <c r="CR34" s="311" t="s">
        <v>156</v>
      </c>
      <c r="CS34" s="293"/>
      <c r="CT34" s="294"/>
      <c r="CU34" s="297" t="e">
        <f>"...harmful or 
substantially "&amp;CH35</f>
        <v>#VALUE!</v>
      </c>
      <c r="CV34" s="298"/>
      <c r="CW34" s="299"/>
      <c r="CX34" s="303" t="s">
        <v>157</v>
      </c>
      <c r="DA34" s="269" t="s">
        <v>151</v>
      </c>
      <c r="DB34" s="271" t="s">
        <v>152</v>
      </c>
      <c r="DC34" s="273" t="s">
        <v>153</v>
      </c>
      <c r="DD34" s="274"/>
      <c r="DE34" s="275"/>
      <c r="DF34" s="306" t="s">
        <v>154</v>
      </c>
      <c r="DG34" s="307"/>
      <c r="DH34" s="106" t="s">
        <v>171</v>
      </c>
      <c r="DI34" s="107" t="s">
        <v>172</v>
      </c>
      <c r="DJ34" s="273" t="str">
        <f>"Effect &amp; re-estimated "&amp;DG36&amp;"% confidence limits"</f>
        <v>Effect &amp; re-estimated 90% confidence limits</v>
      </c>
      <c r="DK34" s="274"/>
      <c r="DL34" s="274"/>
      <c r="DM34" s="275"/>
      <c r="DN34" s="277" t="s">
        <v>155</v>
      </c>
      <c r="DO34" s="278"/>
      <c r="DP34" s="287" t="e">
        <f>"...beneficial or
substantially "&amp;DH35</f>
        <v>#VALUE!</v>
      </c>
      <c r="DQ34" s="288"/>
      <c r="DR34" s="289"/>
      <c r="DS34" s="311" t="s">
        <v>156</v>
      </c>
      <c r="DT34" s="293"/>
      <c r="DU34" s="294"/>
      <c r="DV34" s="297" t="e">
        <f>"...harmful or 
substantially "&amp;DI35</f>
        <v>#VALUE!</v>
      </c>
      <c r="DW34" s="298"/>
      <c r="DX34" s="299"/>
      <c r="DY34" s="303" t="s">
        <v>157</v>
      </c>
    </row>
    <row r="35" spans="3:130" ht="14.4" customHeight="1" x14ac:dyDescent="0.3">
      <c r="C35" s="16" t="s">
        <v>44</v>
      </c>
      <c r="D35" s="1">
        <v>1.0074000000000001</v>
      </c>
      <c r="E35" s="1">
        <v>0.25359999999999999</v>
      </c>
      <c r="F35" s="1">
        <v>41</v>
      </c>
      <c r="G35" s="1">
        <v>3.97</v>
      </c>
      <c r="H35" s="1">
        <v>2.9999999999999997E-4</v>
      </c>
      <c r="I35" s="1">
        <v>0.1</v>
      </c>
      <c r="J35" s="1">
        <v>0.5806</v>
      </c>
      <c r="K35" s="1">
        <v>1.4340999999999999</v>
      </c>
      <c r="L35" s="1">
        <v>2.7383999999999999</v>
      </c>
      <c r="M35" s="1">
        <v>1.7871999999999999</v>
      </c>
      <c r="N35" s="1">
        <v>4.1959</v>
      </c>
      <c r="P35" s="5"/>
      <c r="Q35" s="27" t="str">
        <f>C35</f>
        <v>Mean @ +1SD MTPf</v>
      </c>
      <c r="R35" s="4">
        <f>L35/(1+L35)</f>
        <v>0.73250588487053281</v>
      </c>
      <c r="S35" s="4"/>
      <c r="T35" s="4"/>
      <c r="U35" s="14"/>
      <c r="V35" s="60" t="s">
        <v>2</v>
      </c>
      <c r="W35" s="60" t="s">
        <v>12</v>
      </c>
      <c r="X35" s="60" t="s">
        <v>13</v>
      </c>
      <c r="Y35" s="77" t="s">
        <v>141</v>
      </c>
      <c r="Z35" s="60" t="s">
        <v>61</v>
      </c>
      <c r="AA35" s="60" t="s">
        <v>60</v>
      </c>
      <c r="AC35" s="60" t="s">
        <v>2</v>
      </c>
      <c r="AD35" s="60" t="s">
        <v>12</v>
      </c>
      <c r="AE35" s="60" t="s">
        <v>13</v>
      </c>
      <c r="AF35" s="60" t="s">
        <v>61</v>
      </c>
      <c r="AG35" s="60" t="s">
        <v>60</v>
      </c>
      <c r="AH35" s="60"/>
      <c r="AI35" s="61" t="s">
        <v>83</v>
      </c>
      <c r="AJ35" s="5"/>
      <c r="AK35" s="60" t="s">
        <v>2</v>
      </c>
      <c r="AL35" s="60" t="s">
        <v>12</v>
      </c>
      <c r="AM35" s="60" t="s">
        <v>13</v>
      </c>
      <c r="AN35" s="62" t="s">
        <v>61</v>
      </c>
      <c r="AO35" s="62" t="s">
        <v>60</v>
      </c>
      <c r="AQ35" s="60" t="s">
        <v>2</v>
      </c>
      <c r="AR35" s="60" t="s">
        <v>12</v>
      </c>
      <c r="AS35" s="60" t="s">
        <v>13</v>
      </c>
      <c r="AT35" s="60" t="s">
        <v>139</v>
      </c>
      <c r="AU35" s="62" t="s">
        <v>61</v>
      </c>
      <c r="AV35" s="62" t="s">
        <v>60</v>
      </c>
      <c r="AY35" s="270"/>
      <c r="AZ35" s="305"/>
      <c r="BA35" s="87" t="s">
        <v>158</v>
      </c>
      <c r="BB35" s="88" t="s">
        <v>159</v>
      </c>
      <c r="BC35" s="93" t="s">
        <v>168</v>
      </c>
      <c r="BD35" s="89" t="s">
        <v>160</v>
      </c>
      <c r="BE35" s="90" t="s">
        <v>161</v>
      </c>
      <c r="BF35" s="91" t="e">
        <f>IF(BF36&lt;1,"decr.","incr.")</f>
        <v>#VALUE!</v>
      </c>
      <c r="BG35" s="92" t="e">
        <f>IF(BG36&gt;1,"incr.","decr.")</f>
        <v>#VALUE!</v>
      </c>
      <c r="BH35" s="83" t="s">
        <v>17</v>
      </c>
      <c r="BI35" s="90" t="s">
        <v>162</v>
      </c>
      <c r="BJ35" s="90" t="s">
        <v>163</v>
      </c>
      <c r="BK35" s="93" t="s">
        <v>168</v>
      </c>
      <c r="BL35" s="94" t="s">
        <v>164</v>
      </c>
      <c r="BM35" s="95" t="s">
        <v>165</v>
      </c>
      <c r="BN35" s="308"/>
      <c r="BO35" s="309"/>
      <c r="BP35" s="310"/>
      <c r="BQ35" s="312"/>
      <c r="BR35" s="313"/>
      <c r="BS35" s="314"/>
      <c r="BT35" s="315"/>
      <c r="BU35" s="316"/>
      <c r="BV35" s="317"/>
      <c r="BW35" s="304"/>
      <c r="BX35" s="97" t="s">
        <v>167</v>
      </c>
      <c r="BZ35" s="270"/>
      <c r="CA35" s="305"/>
      <c r="CB35" s="87" t="s">
        <v>158</v>
      </c>
      <c r="CC35" s="88" t="s">
        <v>159</v>
      </c>
      <c r="CD35" s="93" t="s">
        <v>138</v>
      </c>
      <c r="CE35" s="89" t="s">
        <v>160</v>
      </c>
      <c r="CF35" s="90" t="s">
        <v>161</v>
      </c>
      <c r="CG35" s="217" t="e">
        <f>IF(CG36&lt;0,"decr.","incr.")</f>
        <v>#VALUE!</v>
      </c>
      <c r="CH35" s="218" t="e">
        <f>IF(CH36&gt;0,"incr.","decr.")</f>
        <v>#VALUE!</v>
      </c>
      <c r="CI35" s="83" t="s">
        <v>17</v>
      </c>
      <c r="CJ35" s="90" t="s">
        <v>162</v>
      </c>
      <c r="CK35" s="90" t="s">
        <v>163</v>
      </c>
      <c r="CL35" s="93" t="s">
        <v>138</v>
      </c>
      <c r="CM35" s="94" t="s">
        <v>164</v>
      </c>
      <c r="CN35" s="95" t="s">
        <v>165</v>
      </c>
      <c r="CO35" s="308"/>
      <c r="CP35" s="309"/>
      <c r="CQ35" s="310"/>
      <c r="CR35" s="312"/>
      <c r="CS35" s="313"/>
      <c r="CT35" s="314"/>
      <c r="CU35" s="315"/>
      <c r="CV35" s="316"/>
      <c r="CW35" s="317"/>
      <c r="CX35" s="304"/>
      <c r="CY35" s="96" t="s">
        <v>167</v>
      </c>
      <c r="DA35" s="270"/>
      <c r="DB35" s="305"/>
      <c r="DC35" s="87" t="s">
        <v>158</v>
      </c>
      <c r="DD35" s="88" t="s">
        <v>159</v>
      </c>
      <c r="DE35" s="93" t="s">
        <v>138</v>
      </c>
      <c r="DF35" s="89" t="s">
        <v>160</v>
      </c>
      <c r="DG35" s="90" t="s">
        <v>161</v>
      </c>
      <c r="DH35" s="217" t="e">
        <f>IF(DH36&lt;0,"decr.","incr.")</f>
        <v>#VALUE!</v>
      </c>
      <c r="DI35" s="218" t="e">
        <f>IF(DI36&gt;0,"incr.","decr.")</f>
        <v>#VALUE!</v>
      </c>
      <c r="DJ35" s="83" t="s">
        <v>17</v>
      </c>
      <c r="DK35" s="90" t="s">
        <v>162</v>
      </c>
      <c r="DL35" s="90" t="s">
        <v>163</v>
      </c>
      <c r="DM35" s="93" t="s">
        <v>138</v>
      </c>
      <c r="DN35" s="94" t="s">
        <v>164</v>
      </c>
      <c r="DO35" s="95" t="s">
        <v>165</v>
      </c>
      <c r="DP35" s="308"/>
      <c r="DQ35" s="309"/>
      <c r="DR35" s="310"/>
      <c r="DS35" s="312"/>
      <c r="DT35" s="313"/>
      <c r="DU35" s="314"/>
      <c r="DV35" s="315"/>
      <c r="DW35" s="316"/>
      <c r="DX35" s="317"/>
      <c r="DY35" s="304"/>
      <c r="DZ35" s="96" t="s">
        <v>167</v>
      </c>
    </row>
    <row r="36" spans="3:130" x14ac:dyDescent="0.3">
      <c r="C36" s="16" t="s">
        <v>81</v>
      </c>
      <c r="D36" s="12">
        <v>-0.3952</v>
      </c>
      <c r="E36" s="1">
        <v>0.2888</v>
      </c>
      <c r="F36" s="1">
        <v>41</v>
      </c>
      <c r="G36" s="12">
        <v>-1.37</v>
      </c>
      <c r="H36" s="1">
        <v>0.1787</v>
      </c>
      <c r="I36" s="1">
        <v>0.1</v>
      </c>
      <c r="J36" s="12">
        <v>-0.88119999999999998</v>
      </c>
      <c r="K36" s="1">
        <v>9.0880000000000002E-2</v>
      </c>
      <c r="L36" s="1">
        <v>0.67359999999999998</v>
      </c>
      <c r="M36" s="1">
        <v>0.4143</v>
      </c>
      <c r="N36" s="1">
        <v>1.0951</v>
      </c>
      <c r="P36" s="5"/>
      <c r="R36" s="5"/>
      <c r="S36" s="5"/>
      <c r="T36" s="5"/>
      <c r="U36" s="26" t="str">
        <f>C36</f>
        <v>MTPf +1SD/-1SD</v>
      </c>
      <c r="V36" s="48">
        <f>L34*L36/(1+L34*L36)/R34</f>
        <v>0.9126927420064106</v>
      </c>
      <c r="W36" s="48">
        <f>EXP(LN(V36)-_xlfn.T.INV.2T(I36,F36)*ABS(LN(V36))/ABS(G36))</f>
        <v>0.81580845215449871</v>
      </c>
      <c r="X36" s="48">
        <f>EXP(LN(V36)+_xlfn.T.INV.2T(I36,F36)*ABS(LN(V36))/ABS(G36))</f>
        <v>1.0210828768827518</v>
      </c>
      <c r="Y36" s="48">
        <f>SQRT(X36/W36)</f>
        <v>1.1187586247679178</v>
      </c>
      <c r="Z36" s="4">
        <f>$V$26</f>
        <v>0.9</v>
      </c>
      <c r="AA36" s="4">
        <f>$V$27</f>
        <v>1.1111111111111112</v>
      </c>
      <c r="AC36" s="4">
        <f>D36</f>
        <v>-0.3952</v>
      </c>
      <c r="AD36" s="4">
        <f>J36</f>
        <v>-0.88119999999999998</v>
      </c>
      <c r="AE36" s="4">
        <f>K36</f>
        <v>9.0880000000000002E-2</v>
      </c>
      <c r="AF36" s="4">
        <f>LN(Z36*R34/(1-Z36*R34)/L34)</f>
        <v>-0.44650041320943318</v>
      </c>
      <c r="AG36" s="4">
        <f>LN(AA36*R34/(1-AA36*R34)/L34)</f>
        <v>0.70633374236412161</v>
      </c>
      <c r="AH36" s="4"/>
      <c r="AI36" s="4">
        <f>SQRT($D$11+$D$13*(1/($H$4*$R34)+1/($H$4*(1-$R34))))</f>
        <v>0.84640859425095305</v>
      </c>
      <c r="AJ36" s="5"/>
      <c r="AK36" s="4">
        <f>AC36/AI36</f>
        <v>-0.46691397356348974</v>
      </c>
      <c r="AL36" s="4">
        <f>AD36/AI36</f>
        <v>-1.0411047406481455</v>
      </c>
      <c r="AM36" s="4">
        <f>AE36/AI36</f>
        <v>0.10737131051986323</v>
      </c>
      <c r="AN36" s="143">
        <f>$AK$26</f>
        <v>-0.2</v>
      </c>
      <c r="AO36" s="143">
        <f>$AK$27</f>
        <v>0.2</v>
      </c>
      <c r="AQ36" s="50">
        <f>10*(2*SQRT(L36)/(1+SQRT(L36))-1)</f>
        <v>-0.98459674342355141</v>
      </c>
      <c r="AR36" s="50">
        <f>10*(2*SQRT(M36)/(1+SQRT(M36))-1)</f>
        <v>-2.167956234585493</v>
      </c>
      <c r="AS36" s="50">
        <f>10*(2*SQRT(N36)/(1+SQRT(N36))-1)</f>
        <v>0.22707516714736808</v>
      </c>
      <c r="AT36" s="50">
        <f>(AS36-AR36)/2</f>
        <v>1.1975157008664306</v>
      </c>
      <c r="AU36" s="10">
        <f>$AQ$26</f>
        <v>-1</v>
      </c>
      <c r="AV36" s="10">
        <f>$AQ$27</f>
        <v>1</v>
      </c>
      <c r="AW36" s="6" t="str">
        <f>U36</f>
        <v>MTPf +1SD/-1SD</v>
      </c>
      <c r="AY36" s="108">
        <f>V36</f>
        <v>0.9126927420064106</v>
      </c>
      <c r="AZ36" s="109">
        <f>F36</f>
        <v>41</v>
      </c>
      <c r="BA36" s="108">
        <f>W36</f>
        <v>0.81580845215449871</v>
      </c>
      <c r="BB36" s="108">
        <f>X36</f>
        <v>1.0210828768827518</v>
      </c>
      <c r="BC36" s="108">
        <f>SQRT(BB36/BA36)</f>
        <v>1.1187586247679178</v>
      </c>
      <c r="BD36" s="110">
        <f>100*(1-I36)</f>
        <v>90</v>
      </c>
      <c r="BE36" s="102">
        <f>100-2*$BC$7</f>
        <v>90</v>
      </c>
      <c r="BF36" s="108" t="e">
        <f>$P$5*Z36+$Q$5*AA36</f>
        <v>#VALUE!</v>
      </c>
      <c r="BG36" s="108" t="e">
        <f>$Q$5*Z36+$P$5*AA36</f>
        <v>#VALUE!</v>
      </c>
      <c r="BH36" s="103">
        <f>AY36</f>
        <v>0.9126927420064106</v>
      </c>
      <c r="BI36" s="103">
        <f>EXP(LN(AY36)-TINV((100-BE36)/100,AZ36)*BX36)</f>
        <v>0.81580845215449871</v>
      </c>
      <c r="BJ36" s="103">
        <f>EXP(LN(AY36)+TINV((100-BE36)/100,AZ36)*BX36)</f>
        <v>1.0210828768827518</v>
      </c>
      <c r="BK36" s="103">
        <f>SQRT(BJ36/BI36)</f>
        <v>1.1187586247679178</v>
      </c>
      <c r="BL36" s="118" t="e">
        <f>IF(BN36&lt;$BE$7,IF(MAX(BQ36,BT36)=BQ36,BS36&amp;" trivial; don't use",BV36&amp;" harmful; don't use"),IF(BT36&lt;$BA$7,BP36&amp;" beneficial; use","unclear; don't use"))</f>
        <v>#VALUE!</v>
      </c>
      <c r="BM36" s="118" t="e">
        <f>IF(MIN(BN36,BT36)&gt;$BC$7,"unclear",IF(MAX(BN36,BQ36,BT36)=BN36,BP36&amp;" "&amp;BF35,IF(MAX(BN36,BQ36,BT36)=BQ36,BS36&amp;" trivial",BV36&amp;" "&amp;BG35)))</f>
        <v>#VALUE!</v>
      </c>
      <c r="BN36" s="98" t="e">
        <f>100*IF(LN(BF36)&gt;0,IF(LN(AY36)-LN(BF36)&gt;0,1-TDIST((LN(AY36)-LN(BF36))/BX36,AZ36,1),TDIST((LN(BF36)-LN(AY36))/BX36,AZ36,1)),IF(LN(AY36)-LN(BF36)&gt;0,TDIST((LN(AY36)-LN(BF36))/BX36,AZ36,1),1-TDIST((LN(BF36)-LN(AY36))/BX36,AZ36,1)))</f>
        <v>#VALUE!</v>
      </c>
      <c r="BO36" s="99" t="s">
        <v>166</v>
      </c>
      <c r="BP36" s="100" t="e">
        <f>IF(BN36&lt;$BA$7,$AZ$7,IF(BN36&lt;$BC$7,$BB$7,IF(BN36&lt;$BE$7,$BD$7,IF(BN36&lt;$BG$7,$BF$7,IF(BN36&lt;$BI$7,$BH$7,IF(BN36&lt;$BK$7,$BJ$7,$BL$7))))))</f>
        <v>#VALUE!</v>
      </c>
      <c r="BQ36" s="101" t="e">
        <f>100-BN36-BT36</f>
        <v>#VALUE!</v>
      </c>
      <c r="BR36" s="99" t="s">
        <v>166</v>
      </c>
      <c r="BS36" s="100" t="e">
        <f>IF(BQ36&lt;$BA$7,$AZ$7,IF(BQ36&lt;$BC$7,$BB$7,IF(BQ36&lt;$BE$7,$BD$7,IF(BQ36&lt;$BG$7,$BF$7,IF(BQ36&lt;$BI$7,$BH$7,IF(BQ36&lt;$BK$7,$BJ$7,$BL$7))))))</f>
        <v>#VALUE!</v>
      </c>
      <c r="BT36" s="98" t="e">
        <f>100*IF(LN(BG36)&gt;0,IF(LN(AY36)-LN(BG36)&gt;0,1-TDIST((LN(AY36)-LN(BG36))/BX36,AZ36,1),TDIST((LN(BG36)-LN(AY36))/BX36,AZ36,1)),IF(LN(AY36)-LN(BG36)&gt;0,TDIST((LN(AY36)-LN(BG36))/BX36,AZ36,1),1-TDIST((LN(BG36)-LN(AY36))/BX36,AZ36,1)))</f>
        <v>#VALUE!</v>
      </c>
      <c r="BU36" s="99" t="s">
        <v>166</v>
      </c>
      <c r="BV36" s="100" t="e">
        <f>IF(BT36&lt;$BA$7,$AZ$7,IF(BT36&lt;$BC$7,$BB$7,IF(BT36&lt;$BE$7,$BD$7,IF(BT36&lt;$BG$7,$BF$7,IF(BT36&lt;$BI$7,$BH$7,IF(BT36&lt;$BK$7,$BJ$7,$BL$7))))))</f>
        <v>#VALUE!</v>
      </c>
      <c r="BW36" s="115" t="e">
        <f>BN36/(100-BN36)/(BT36/(100-BT36))</f>
        <v>#VALUE!</v>
      </c>
      <c r="BX36" s="105">
        <f>(LN(BB36)-LN(BA36))/2/TINV(1-BD36/100,AZ36)</f>
        <v>6.6683205630327744E-2</v>
      </c>
      <c r="BY36" s="24" t="str">
        <f>U36</f>
        <v>MTPf +1SD/-1SD</v>
      </c>
      <c r="BZ36" s="111">
        <f>AK36</f>
        <v>-0.46691397356348974</v>
      </c>
      <c r="CA36" s="109">
        <f>F36</f>
        <v>41</v>
      </c>
      <c r="CB36" s="111">
        <f>AL36</f>
        <v>-1.0411047406481455</v>
      </c>
      <c r="CC36" s="111">
        <f>AM36</f>
        <v>0.10737131051986323</v>
      </c>
      <c r="CD36" s="111">
        <f>(CC36-CB36)/2</f>
        <v>0.57423802558400439</v>
      </c>
      <c r="CE36" s="109">
        <f>100*(1-I36)</f>
        <v>90</v>
      </c>
      <c r="CF36" s="102">
        <f>100-2*$BC$7</f>
        <v>90</v>
      </c>
      <c r="CG36" s="108" t="e">
        <f>$P$5*AN36+$Q$5*AO36</f>
        <v>#VALUE!</v>
      </c>
      <c r="CH36" s="108" t="e">
        <f>$Q$5*AN36+$P$5*AO36</f>
        <v>#VALUE!</v>
      </c>
      <c r="CI36" s="117">
        <f>BZ36</f>
        <v>-0.46691397356348974</v>
      </c>
      <c r="CJ36" s="117">
        <f>BZ36-TINV((100-CF36)/100,CA36)*CY36</f>
        <v>-1.0411519991474942</v>
      </c>
      <c r="CK36" s="117">
        <f>BZ36+TINV((100-CF36)/100,CA36)*CY36</f>
        <v>0.10732405202051465</v>
      </c>
      <c r="CL36" s="117">
        <f>(CK36-CJ36)/2</f>
        <v>0.5742380255840045</v>
      </c>
      <c r="CM36" s="118" t="e">
        <f>IF(CO36&lt;$BE$7,IF(MAX(CR36,CU36)=CR36,CT36&amp;" trivial; don't use",CW36&amp;" harmful; don't use"),IF(CU36&lt;$BA$7,CQ36&amp;" beneficial; use","unclear; don't use"))</f>
        <v>#VALUE!</v>
      </c>
      <c r="CN36" s="118" t="e">
        <f>IF(MIN(CO36,CU36)&gt;$BC$7,"unclear",IF(MAX(CO36,CR36,CU36)=CO36,CQ36&amp;" "&amp;CG35,IF(MAX(CO36,CR36,CU36)=CR36,CT36&amp;" trivial",CW36&amp;" "&amp;CH35)))</f>
        <v>#VALUE!</v>
      </c>
      <c r="CO36" s="112" t="e">
        <f>100*IF(CG36&gt;0,IF(BZ36-CG36&gt;0,1-TDIST((BZ36-CG36)/CY36,CA36,1),TDIST((CG36-BZ36)/CY36,CA36,1)),IF(BZ36-CG36&gt;0,TDIST((BZ36-CG36)/CY36,CA36,1),1-TDIST((CG36-BZ36)/CY36,CA36,1)))</f>
        <v>#VALUE!</v>
      </c>
      <c r="CP36" s="113" t="s">
        <v>166</v>
      </c>
      <c r="CQ36" s="100" t="e">
        <f>IF(CO36&lt;$BA$7,$AZ$7,IF(CO36&lt;$BC$7,$BB$7,IF(CO36&lt;$BE$7,$BD$7,IF(CO36&lt;$BG$7,$BF$7,IF(CO36&lt;$BI$7,$BH$7,IF(CO36&lt;$BK$7,$BJ$7,$BL$7))))))</f>
        <v>#VALUE!</v>
      </c>
      <c r="CR36" s="114" t="e">
        <f>100-CO36-CU36</f>
        <v>#VALUE!</v>
      </c>
      <c r="CS36" s="113" t="s">
        <v>166</v>
      </c>
      <c r="CT36" s="100" t="e">
        <f>IF(CR36&lt;$BA$7,$AZ$7,IF(CR36&lt;$BC$7,$BB$7,IF(CR36&lt;$BE$7,$BD$7,IF(CR36&lt;$BG$7,$BF$7,IF(CR36&lt;$BI$7,$BH$7,IF(CR36&lt;$BK$7,$BJ$7,$BL$7))))))</f>
        <v>#VALUE!</v>
      </c>
      <c r="CU36" s="112" t="e">
        <f>100*IF(CH36&gt;0,IF(BZ36-CH36&gt;0,1-TDIST((BZ36-CH36)/CY36,CA36,1),TDIST((CH36-BZ36)/CY36,CA36,1)),IF(BZ36-CH36&gt;0,TDIST((BZ36-CH36)/CY36,CA36,1),1-TDIST((CH36-BZ36)/CY36,CA36,1)))</f>
        <v>#VALUE!</v>
      </c>
      <c r="CV36" s="113" t="s">
        <v>166</v>
      </c>
      <c r="CW36" s="100" t="e">
        <f>IF(CU36&lt;$BA$7,$AZ$7,IF(CU36&lt;$BC$7,$BB$7,IF(CU36&lt;$BE$7,$BD$7,IF(CU36&lt;$BG$7,$BF$7,IF(CU36&lt;$BI$7,$BH$7,IF(CU36&lt;$BK$7,$BJ$7,$BL$7))))))</f>
        <v>#VALUE!</v>
      </c>
      <c r="CX36" s="115" t="e">
        <f>CO36/(100-CO36)/(CU36/(100-CU36))</f>
        <v>#VALUE!</v>
      </c>
      <c r="CY36" s="105">
        <f>(CC36-CB36)/2/TINV(1-CE36/100,CA36)</f>
        <v>0.34122379926309204</v>
      </c>
      <c r="CZ36" s="24" t="str">
        <f>U36</f>
        <v>MTPf +1SD/-1SD</v>
      </c>
      <c r="DA36" s="116">
        <f>AQ36</f>
        <v>-0.98459674342355141</v>
      </c>
      <c r="DB36" s="109">
        <f>F36</f>
        <v>41</v>
      </c>
      <c r="DC36" s="116">
        <f>AR36</f>
        <v>-2.167956234585493</v>
      </c>
      <c r="DD36" s="116">
        <f>AS36</f>
        <v>0.22707516714736808</v>
      </c>
      <c r="DE36" s="116">
        <f>(DD36-DC36)/2</f>
        <v>1.1975157008664306</v>
      </c>
      <c r="DF36" s="109">
        <f>100*(1-I36)</f>
        <v>90</v>
      </c>
      <c r="DG36" s="102">
        <f>100-2*$BC$7</f>
        <v>90</v>
      </c>
      <c r="DH36" s="241" t="e">
        <f>$P$5*AU36+$Q$5*AV36</f>
        <v>#VALUE!</v>
      </c>
      <c r="DI36" s="241" t="e">
        <f>$Q$5*AU36+$P$5*AV36</f>
        <v>#VALUE!</v>
      </c>
      <c r="DJ36" s="104">
        <f>DA36</f>
        <v>-0.98459674342355141</v>
      </c>
      <c r="DK36" s="104">
        <f>10*(2*SQRT(EXP(LN(((1+DA36/10)/(1-DA36/10))^2)-TINV((100-DG36)/100,DB36)*DZ36))/(1+SQRT(EXP(LN(((1+DA36/10)/(1-DA36/10))^2)-TINV((100-DG36)/100,DB36)*DZ36)))-1)</f>
        <v>-2.1678590111427933</v>
      </c>
      <c r="DL36" s="104">
        <f>10*(2*SQRT(EXP(LN(((1+DA36/10)/(1-DA36/10))^2)+TINV((100-DG36)/100,DB36)*DZ36))/(1+SQRT(EXP(LN(((1+DA36/10)/(1-DA36/10))^2)+TINV((100-DG36)/100,DB36)*DZ36)))-1)</f>
        <v>0.22717713263396444</v>
      </c>
      <c r="DM36" s="104">
        <f>(DL36-DK36)/2</f>
        <v>1.1975180718883789</v>
      </c>
      <c r="DN36" s="118" t="e">
        <f>IF(DP36&lt;$BE$7,IF(MAX(DS36,DV36)=DS36,DU36&amp;" trivial; don't use",DX36&amp;" harmful; don't use"),IF(DV36&lt;$BA$7,DR36&amp;" beneficial; use","unclear; don't use"))</f>
        <v>#VALUE!</v>
      </c>
      <c r="DO36" s="118" t="e">
        <f>IF(MIN(DP36,DV36)&gt;$BC$7,"unclear",IF(MAX(DP36,DS36,DV36)=DP36,DR36&amp;" "&amp;DH35,IF(MAX(DP36,DS36,DV36)=DS36,DU36&amp;" trivial",DX36&amp;" "&amp;DI35)))</f>
        <v>#VALUE!</v>
      </c>
      <c r="DP36" s="112" t="e">
        <f>100*IF(LN(((1+DH36/10)/(1-DH36/10))^2)&gt;0,IF(LN(((1+DA36/10)/(1-DA36/10))^2)-LN(((1+DH36/10)/(1-DH36/10))^2)&gt;0,1-TDIST((LN(((1+DA36/10)/(1-DA36/10))^2)-LN(((1+DH36/10)/(1-DH36/10))^2))/DZ36,DB36,1),TDIST((LN(((1+DH36/10)/(1-DH36/10))^2)-LN(((1+DA36/10)/(1-DA36/10))^2))/DZ36,DB36,1)),IF(LN(((1+DA36/10)/(1-DA36/10))^2)-LN(((1+DH36/10)/(1-DH36/10))^2)&gt;0,TDIST((LN(((1+DA36/10)/(1-DA36/10))^2)-LN(((1+DH36/10)/(1-DH36/10))^2))/DZ36,DB36,1),1-TDIST((LN(((1+DH36/10)/(1-DH36/10))^2)-LN(((1+DA36/10)/(1-DA36/10))^2))/DZ36,DB36,1)))</f>
        <v>#VALUE!</v>
      </c>
      <c r="DQ36" s="113" t="s">
        <v>166</v>
      </c>
      <c r="DR36" s="100" t="e">
        <f>IF(DP36&lt;$BA$7,$AZ$7,IF(DP36&lt;$BC$7,$BB$7,IF(DP36&lt;$BE$7,$BD$7,IF(DP36&lt;$BG$7,$BF$7,IF(DP36&lt;$BI$7,$BH$7,IF(DP36&lt;$BK$7,$BJ$7,$BL$7))))))</f>
        <v>#VALUE!</v>
      </c>
      <c r="DS36" s="114" t="e">
        <f>100-DP36-DV36</f>
        <v>#VALUE!</v>
      </c>
      <c r="DT36" s="113" t="s">
        <v>166</v>
      </c>
      <c r="DU36" s="100" t="e">
        <f>IF(DS36&lt;$BA$7,$AZ$7,IF(DS36&lt;$BC$7,$BB$7,IF(DS36&lt;$BE$7,$BD$7,IF(DS36&lt;$BG$7,$BF$7,IF(DS36&lt;$BI$7,$BH$7,IF(DS36&lt;$BK$7,$BJ$7,$BL$7))))))</f>
        <v>#VALUE!</v>
      </c>
      <c r="DV36" s="112" t="e">
        <f>100*IF(LN(((1+DI36/10)/(1-DI36/10))^2)&gt;0,IF(LN(((1+DA36/10)/(1-DA36/10))^2)-LN(((1+DI36/10)/(1-DI36/10))^2)&gt;0,1-TDIST((LN(((1+DA36/10)/(1-DA36/10))^2)-LN(((1+DI36/10)/(1-DI36/10))^2))/DZ36,DB36,1),TDIST((LN(((1+DI36/10)/(1-DI36/10))^2)-LN(((1+DA36/10)/(1-DA36/10))^2))/DZ36,DB36,1)),IF(LN(((1+DA36/10)/(1-DA36/10))^2)-LN(((1+DI36/10)/(1-DI36/10))^2)&gt;0,TDIST((LN(((1+DA36/10)/(1-DA36/10))^2)-LN(((1+DI36/10)/(1-DI36/10))^2))/DZ36,DB36,1),1-TDIST((LN(((1+DI36/10)/(1-DI36/10))^2)-LN(((1+DA36/10)/(1-DA36/10))^2))/DZ36,DB36,1)))</f>
        <v>#VALUE!</v>
      </c>
      <c r="DW36" s="113" t="s">
        <v>166</v>
      </c>
      <c r="DX36" s="100" t="e">
        <f>IF(DV36&lt;$BA$7,$AZ$7,IF(DV36&lt;$BC$7,$BB$7,IF(DV36&lt;$BE$7,$BD$7,IF(DV36&lt;$BG$7,$BF$7,IF(DV36&lt;$BI$7,$BH$7,IF(DV36&lt;$BK$7,$BJ$7,$BL$7))))))</f>
        <v>#VALUE!</v>
      </c>
      <c r="DY36" s="115" t="e">
        <f>DP36/(100-DP36)/(DV36/(100-DV36))</f>
        <v>#VALUE!</v>
      </c>
      <c r="DZ36" s="105">
        <f>(LN(((1+DD36/10)/(1-DD36/10))^2)-LN(((1+DC36/10)/(1-DC36/10))^2))/2/TINV(1-DF36/100,DB36)</f>
        <v>0.28879414074179194</v>
      </c>
    </row>
    <row r="37" spans="3:130" x14ac:dyDescent="0.3">
      <c r="C37" s="45" t="s">
        <v>252</v>
      </c>
      <c r="D37" s="12"/>
      <c r="E37" s="1"/>
      <c r="F37" s="1"/>
      <c r="G37" s="12"/>
      <c r="H37" s="1"/>
      <c r="I37" s="1"/>
      <c r="J37" s="12"/>
      <c r="K37" s="1"/>
      <c r="L37" s="1"/>
      <c r="M37" s="1"/>
      <c r="N37" s="1"/>
      <c r="Q37" s="40"/>
      <c r="V37" s="4"/>
      <c r="Z37" s="35"/>
      <c r="AA37" s="37"/>
      <c r="AC37" s="14"/>
      <c r="AD37" s="14"/>
      <c r="AE37" s="14"/>
      <c r="AF37" s="34"/>
      <c r="AG37" s="34"/>
      <c r="AH37" s="34"/>
      <c r="AI37" s="34"/>
      <c r="AJ37" s="42"/>
      <c r="AK37" s="34"/>
      <c r="AL37" s="34"/>
      <c r="AM37" s="34"/>
      <c r="AN37" s="35"/>
      <c r="AO37" s="37"/>
      <c r="AQ37" s="10"/>
      <c r="AR37" s="10"/>
      <c r="AS37" s="10"/>
      <c r="AT37" s="50"/>
      <c r="AU37" s="38"/>
      <c r="AV37" s="39"/>
    </row>
    <row r="38" spans="3:130" ht="15.65" customHeight="1" x14ac:dyDescent="0.3">
      <c r="C38" s="177" t="s">
        <v>257</v>
      </c>
      <c r="D38" s="12"/>
      <c r="E38" s="1"/>
      <c r="F38" s="1"/>
      <c r="G38" s="12"/>
      <c r="H38" s="1"/>
      <c r="I38" s="1"/>
      <c r="J38" s="12"/>
      <c r="K38" s="1"/>
      <c r="L38" s="1"/>
      <c r="M38" s="1"/>
      <c r="N38" s="1"/>
      <c r="Q38" s="40"/>
      <c r="V38" s="4"/>
      <c r="W38" s="4"/>
      <c r="X38" s="4"/>
      <c r="Y38" s="4"/>
      <c r="Z38" s="35"/>
      <c r="AA38" s="37"/>
      <c r="AC38" s="14"/>
      <c r="AD38" s="14"/>
      <c r="AE38" s="14"/>
      <c r="AF38" s="34"/>
      <c r="AG38" s="34"/>
      <c r="AH38" s="34"/>
      <c r="AI38" s="34"/>
      <c r="AJ38" s="42"/>
      <c r="AK38" s="34"/>
      <c r="AL38" s="34"/>
      <c r="AM38" s="34"/>
      <c r="AN38" s="35"/>
      <c r="AO38" s="37"/>
      <c r="AQ38" s="10"/>
      <c r="AR38" s="10"/>
      <c r="AS38" s="10"/>
      <c r="AT38" s="10"/>
      <c r="AU38" s="38"/>
      <c r="AV38" s="39"/>
    </row>
    <row r="39" spans="3:130" x14ac:dyDescent="0.3">
      <c r="W39" s="4"/>
    </row>
    <row r="40" spans="3:130" x14ac:dyDescent="0.3">
      <c r="F40" s="13" t="s">
        <v>89</v>
      </c>
      <c r="W40" s="4"/>
    </row>
    <row r="41" spans="3:130" x14ac:dyDescent="0.3">
      <c r="F41" s="13" t="s">
        <v>202</v>
      </c>
      <c r="J41" s="19"/>
      <c r="K41" s="1"/>
      <c r="L41" s="1"/>
      <c r="M41" s="1"/>
    </row>
    <row r="42" spans="3:130" x14ac:dyDescent="0.3">
      <c r="F42" s="5" t="s">
        <v>203</v>
      </c>
      <c r="J42" s="19"/>
      <c r="K42" s="1"/>
      <c r="L42" s="1"/>
      <c r="M42" s="1"/>
    </row>
    <row r="43" spans="3:130" x14ac:dyDescent="0.3">
      <c r="F43" s="13"/>
      <c r="J43" s="21"/>
      <c r="K43" s="27" t="s">
        <v>77</v>
      </c>
      <c r="L43" s="4">
        <f>D11</f>
        <v>0.1095</v>
      </c>
      <c r="M43" s="6" t="s">
        <v>78</v>
      </c>
    </row>
    <row r="44" spans="3:130" x14ac:dyDescent="0.3">
      <c r="K44" s="27" t="s">
        <v>76</v>
      </c>
      <c r="L44" s="4">
        <f>D13</f>
        <v>1.327</v>
      </c>
      <c r="M44" s="6" t="s">
        <v>79</v>
      </c>
    </row>
    <row r="45" spans="3:130" x14ac:dyDescent="0.3">
      <c r="K45" s="26" t="s">
        <v>90</v>
      </c>
      <c r="L45" s="132">
        <f>R28</f>
        <v>0.76940460268413047</v>
      </c>
      <c r="M45" s="5" t="s">
        <v>265</v>
      </c>
    </row>
    <row r="46" spans="3:130" x14ac:dyDescent="0.3">
      <c r="K46" s="26" t="s">
        <v>104</v>
      </c>
      <c r="L46" s="50">
        <f>100*L45</f>
        <v>76.940460268413048</v>
      </c>
    </row>
    <row r="47" spans="3:130" x14ac:dyDescent="0.3">
      <c r="I47" s="13"/>
      <c r="J47" s="19"/>
      <c r="K47" s="27" t="s">
        <v>73</v>
      </c>
      <c r="L47" s="4">
        <f>L44*(1/(H4*R17)+1/(H4*(1-R17)))</f>
        <v>0.49824333032141821</v>
      </c>
      <c r="M47" s="131" t="s">
        <v>243</v>
      </c>
    </row>
    <row r="48" spans="3:130" ht="15.65" customHeight="1" x14ac:dyDescent="0.3">
      <c r="I48" s="22"/>
      <c r="K48" s="27" t="s">
        <v>66</v>
      </c>
      <c r="L48" s="4">
        <f>SQRT(L43+L47)</f>
        <v>0.77957894425222785</v>
      </c>
      <c r="M48" s="131" t="s">
        <v>241</v>
      </c>
    </row>
    <row r="49" spans="2:18" ht="14.4" customHeight="1" x14ac:dyDescent="0.3">
      <c r="I49" s="22"/>
      <c r="K49" s="27" t="s">
        <v>67</v>
      </c>
      <c r="L49" s="10">
        <f>EXP(L48)</f>
        <v>2.1805539374094352</v>
      </c>
      <c r="M49" s="5"/>
    </row>
    <row r="50" spans="2:18" x14ac:dyDescent="0.3">
      <c r="I50" s="22"/>
      <c r="K50" s="27" t="s">
        <v>68</v>
      </c>
      <c r="L50" s="4">
        <f>L28*SQRT(L49)/(1+L28*SQRT(L49))/(L28/SQRT(L49)/(1+L28/SQRT(L49)))</f>
        <v>1.199180468857445</v>
      </c>
      <c r="M50" s="254" t="s">
        <v>266</v>
      </c>
    </row>
    <row r="51" spans="2:18" x14ac:dyDescent="0.3">
      <c r="K51" s="27" t="s">
        <v>69</v>
      </c>
      <c r="L51" s="11">
        <f>100*L50-100</f>
        <v>19.918046885744502</v>
      </c>
      <c r="M51" s="5"/>
    </row>
    <row r="52" spans="2:18" x14ac:dyDescent="0.3">
      <c r="K52" s="26" t="s">
        <v>70</v>
      </c>
      <c r="L52" s="132">
        <f>(L28*SQRT(L49)/(1+L28*SQRT(L49))-(L28/SQRT(L49)/(1+L28/SQRT(L49))))/2</f>
        <v>6.9036805417369729E-2</v>
      </c>
      <c r="M52" s="254" t="s">
        <v>267</v>
      </c>
    </row>
    <row r="53" spans="2:18" x14ac:dyDescent="0.3">
      <c r="K53" s="26" t="s">
        <v>71</v>
      </c>
      <c r="L53" s="50">
        <f>L52*100</f>
        <v>6.9036805417369731</v>
      </c>
      <c r="M53" s="5" t="s">
        <v>92</v>
      </c>
    </row>
    <row r="54" spans="2:18" ht="14.4" customHeight="1" x14ac:dyDescent="0.3"/>
    <row r="55" spans="2:18" x14ac:dyDescent="0.3">
      <c r="B55" s="13" t="s">
        <v>93</v>
      </c>
      <c r="C55" s="3"/>
      <c r="D55" s="4"/>
      <c r="H55" s="4"/>
      <c r="I55" s="4"/>
      <c r="K55" s="3"/>
      <c r="L55" s="3"/>
      <c r="M55" s="4"/>
      <c r="N55" s="4"/>
    </row>
    <row r="56" spans="2:18" x14ac:dyDescent="0.3">
      <c r="B56" s="45" t="s">
        <v>94</v>
      </c>
      <c r="C56" s="3"/>
      <c r="D56" s="4"/>
      <c r="H56" s="4"/>
      <c r="I56" s="4"/>
      <c r="K56" s="3"/>
      <c r="L56" s="3"/>
      <c r="M56" s="7" t="s">
        <v>88</v>
      </c>
      <c r="N56" s="4"/>
      <c r="P56" s="3"/>
      <c r="Q56" s="7" t="s">
        <v>88</v>
      </c>
      <c r="R56" s="4"/>
    </row>
    <row r="57" spans="2:18" x14ac:dyDescent="0.3">
      <c r="B57" s="265" t="s">
        <v>16</v>
      </c>
      <c r="C57" s="265"/>
      <c r="D57" s="265"/>
      <c r="E57" s="265"/>
      <c r="F57" s="265"/>
      <c r="G57" s="265"/>
      <c r="H57" s="265"/>
      <c r="I57" s="265"/>
      <c r="J57" s="265"/>
      <c r="K57" s="265"/>
      <c r="L57" s="5"/>
      <c r="M57" s="8" t="s">
        <v>116</v>
      </c>
      <c r="N57" s="5"/>
      <c r="P57" s="5"/>
      <c r="Q57" s="8" t="s">
        <v>117</v>
      </c>
      <c r="R57" s="5"/>
    </row>
    <row r="58" spans="2:18" ht="30.05" x14ac:dyDescent="0.3">
      <c r="B58" s="2" t="s">
        <v>17</v>
      </c>
      <c r="C58" s="2" t="s">
        <v>1</v>
      </c>
      <c r="D58" s="2" t="s">
        <v>2</v>
      </c>
      <c r="E58" s="2" t="s">
        <v>18</v>
      </c>
      <c r="F58" s="2" t="s">
        <v>19</v>
      </c>
      <c r="G58" s="2" t="s">
        <v>20</v>
      </c>
      <c r="H58" s="2" t="s">
        <v>21</v>
      </c>
      <c r="I58" s="2" t="s">
        <v>22</v>
      </c>
      <c r="J58" s="2" t="s">
        <v>12</v>
      </c>
      <c r="K58" s="2" t="s">
        <v>13</v>
      </c>
      <c r="L58" s="125" t="s">
        <v>2</v>
      </c>
      <c r="M58" s="125" t="s">
        <v>12</v>
      </c>
      <c r="N58" s="125" t="s">
        <v>13</v>
      </c>
      <c r="P58" s="125" t="s">
        <v>2</v>
      </c>
      <c r="Q58" s="125" t="s">
        <v>12</v>
      </c>
      <c r="R58" s="126" t="s">
        <v>13</v>
      </c>
    </row>
    <row r="59" spans="2:18" x14ac:dyDescent="0.3">
      <c r="B59" s="2" t="s">
        <v>7</v>
      </c>
      <c r="C59" s="2" t="s">
        <v>23</v>
      </c>
      <c r="D59" s="1">
        <v>6.012E-2</v>
      </c>
      <c r="E59" s="1">
        <v>0.3175</v>
      </c>
      <c r="F59" s="1">
        <v>41</v>
      </c>
      <c r="G59" s="1">
        <v>0.19</v>
      </c>
      <c r="H59" s="1">
        <v>0.85070000000000001</v>
      </c>
      <c r="I59" s="1">
        <v>0.1</v>
      </c>
      <c r="J59" s="12">
        <v>-0.47420000000000001</v>
      </c>
      <c r="K59" s="1">
        <v>0.59440000000000004</v>
      </c>
      <c r="L59" s="49">
        <f t="shared" ref="L59:L72" si="15">100*_xlfn.T.DIST(D59/$D$17,$F59,1)</f>
        <v>57.1636227000226</v>
      </c>
      <c r="M59" s="11">
        <f t="shared" ref="M59:M72" si="16">100*_xlfn.T.DIST(J59/$D$17,$F59,1)</f>
        <v>7.9715856565022269</v>
      </c>
      <c r="N59" s="11">
        <f t="shared" ref="N59:N72" si="17">100*_xlfn.T.DIST(K59/$D$17,$F59,1)</f>
        <v>96.008876657714538</v>
      </c>
      <c r="P59" s="49">
        <f>100*_xlfn.T.DIST(D59/$L$48,$F59,1)</f>
        <v>53.054782424593469</v>
      </c>
      <c r="Q59" s="11">
        <f>100*_xlfn.T.DIST(J59/$L$48,$F59,1)</f>
        <v>27.317946334285757</v>
      </c>
      <c r="R59" s="11">
        <f>100*_xlfn.T.DIST(K59/$L$48,$F59,1)</f>
        <v>77.492586310789633</v>
      </c>
    </row>
    <row r="60" spans="2:18" x14ac:dyDescent="0.3">
      <c r="B60" s="2" t="s">
        <v>7</v>
      </c>
      <c r="C60" s="2" t="s">
        <v>24</v>
      </c>
      <c r="D60" s="1">
        <v>5.2240000000000002E-2</v>
      </c>
      <c r="E60" s="1">
        <v>0.26079999999999998</v>
      </c>
      <c r="F60" s="1">
        <v>41</v>
      </c>
      <c r="G60" s="1">
        <v>0.2</v>
      </c>
      <c r="H60" s="1">
        <v>0.84219999999999995</v>
      </c>
      <c r="I60" s="1">
        <v>0.1</v>
      </c>
      <c r="J60" s="12">
        <v>-0.3866</v>
      </c>
      <c r="K60" s="1">
        <v>0.49109999999999998</v>
      </c>
      <c r="L60" s="49">
        <f t="shared" si="15"/>
        <v>56.233239665344101</v>
      </c>
      <c r="M60" s="11">
        <f t="shared" si="16"/>
        <v>12.471700517458878</v>
      </c>
      <c r="N60" s="11">
        <f t="shared" si="17"/>
        <v>92.728476186174788</v>
      </c>
      <c r="P60" s="49">
        <f t="shared" ref="P60:P72" si="18">100*_xlfn.T.DIST(D60/$L$48,$F60,1)</f>
        <v>52.655048247002597</v>
      </c>
      <c r="Q60" s="11">
        <f t="shared" ref="Q60:Q72" si="19">100*_xlfn.T.DIST(J60/$L$48,$F60,1)</f>
        <v>31.130341057359512</v>
      </c>
      <c r="R60" s="11">
        <f t="shared" ref="R60:R72" si="20">100*_xlfn.T.DIST(K60/$L$48,$F60,1)</f>
        <v>73.38904823360275</v>
      </c>
    </row>
    <row r="61" spans="2:18" x14ac:dyDescent="0.3">
      <c r="B61" s="2" t="s">
        <v>7</v>
      </c>
      <c r="C61" s="2" t="s">
        <v>25</v>
      </c>
      <c r="D61" s="1">
        <v>0.1988</v>
      </c>
      <c r="E61" s="1">
        <v>0.28870000000000001</v>
      </c>
      <c r="F61" s="1">
        <v>41</v>
      </c>
      <c r="G61" s="1">
        <v>0.69</v>
      </c>
      <c r="H61" s="1">
        <v>0.49509999999999998</v>
      </c>
      <c r="I61" s="1">
        <v>0.1</v>
      </c>
      <c r="J61" s="12">
        <v>-0.28710000000000002</v>
      </c>
      <c r="K61" s="1">
        <v>0.68469999999999998</v>
      </c>
      <c r="L61" s="49">
        <f t="shared" si="15"/>
        <v>72.435044020541824</v>
      </c>
      <c r="M61" s="11">
        <f t="shared" si="16"/>
        <v>19.532801094010431</v>
      </c>
      <c r="N61" s="11">
        <f t="shared" si="17"/>
        <v>97.756284993791837</v>
      </c>
      <c r="P61" s="49">
        <f t="shared" si="18"/>
        <v>60.000467022625429</v>
      </c>
      <c r="Q61" s="11">
        <f t="shared" si="19"/>
        <v>35.728117247136296</v>
      </c>
      <c r="R61" s="11">
        <f t="shared" si="20"/>
        <v>80.75489630963682</v>
      </c>
    </row>
    <row r="62" spans="2:18" x14ac:dyDescent="0.3">
      <c r="B62" s="2" t="s">
        <v>7</v>
      </c>
      <c r="C62" s="2" t="s">
        <v>26</v>
      </c>
      <c r="D62" s="12">
        <v>-3.8760000000000003E-2</v>
      </c>
      <c r="E62" s="1">
        <v>0.23319999999999999</v>
      </c>
      <c r="F62" s="1">
        <v>41</v>
      </c>
      <c r="G62" s="12">
        <v>-0.17</v>
      </c>
      <c r="H62" s="1">
        <v>0.86880000000000002</v>
      </c>
      <c r="I62" s="1">
        <v>0.1</v>
      </c>
      <c r="J62" s="12">
        <v>-0.43120000000000003</v>
      </c>
      <c r="K62" s="1">
        <v>0.35370000000000001</v>
      </c>
      <c r="L62" s="49">
        <f t="shared" si="15"/>
        <v>45.366356174750287</v>
      </c>
      <c r="M62" s="11">
        <f t="shared" si="16"/>
        <v>9.9908907851692845</v>
      </c>
      <c r="N62" s="11">
        <f t="shared" si="17"/>
        <v>85.431114673745185</v>
      </c>
      <c r="P62" s="49">
        <f t="shared" si="18"/>
        <v>48.029381298182052</v>
      </c>
      <c r="Q62" s="11">
        <f t="shared" si="19"/>
        <v>29.159274665931946</v>
      </c>
      <c r="R62" s="11">
        <f t="shared" si="20"/>
        <v>67.378368420625534</v>
      </c>
    </row>
    <row r="63" spans="2:18" x14ac:dyDescent="0.3">
      <c r="B63" s="2" t="s">
        <v>7</v>
      </c>
      <c r="C63" s="2" t="s">
        <v>27</v>
      </c>
      <c r="D63" s="12">
        <v>-0.43319999999999997</v>
      </c>
      <c r="E63" s="1">
        <v>0.25130000000000002</v>
      </c>
      <c r="F63" s="1">
        <v>41</v>
      </c>
      <c r="G63" s="12">
        <v>-1.72</v>
      </c>
      <c r="H63" s="1">
        <v>9.2299999999999993E-2</v>
      </c>
      <c r="I63" s="1">
        <v>0.1</v>
      </c>
      <c r="J63" s="12">
        <v>-0.85599999999999998</v>
      </c>
      <c r="K63" s="12">
        <v>-1.0319999999999999E-2</v>
      </c>
      <c r="L63" s="49">
        <f t="shared" si="15"/>
        <v>9.8890786335367107</v>
      </c>
      <c r="M63" s="11">
        <f t="shared" si="16"/>
        <v>0.66664892828271183</v>
      </c>
      <c r="N63" s="11">
        <f t="shared" si="17"/>
        <v>48.763589410268885</v>
      </c>
      <c r="P63" s="49">
        <f t="shared" si="18"/>
        <v>29.072315281846379</v>
      </c>
      <c r="Q63" s="11">
        <f t="shared" si="19"/>
        <v>13.929935258515961</v>
      </c>
      <c r="R63" s="11">
        <f t="shared" si="20"/>
        <v>49.475109401502756</v>
      </c>
    </row>
    <row r="64" spans="2:18" x14ac:dyDescent="0.3">
      <c r="B64" s="2" t="s">
        <v>7</v>
      </c>
      <c r="C64" s="2" t="s">
        <v>28</v>
      </c>
      <c r="D64" s="12">
        <v>-0.39489999999999997</v>
      </c>
      <c r="E64" s="1">
        <v>0.24410000000000001</v>
      </c>
      <c r="F64" s="1">
        <v>41</v>
      </c>
      <c r="G64" s="12">
        <v>-1.62</v>
      </c>
      <c r="H64" s="1">
        <v>0.1134</v>
      </c>
      <c r="I64" s="1">
        <v>0.1</v>
      </c>
      <c r="J64" s="12">
        <v>-0.80559999999999998</v>
      </c>
      <c r="K64" s="1">
        <v>1.5859999999999999E-2</v>
      </c>
      <c r="L64" s="49">
        <f t="shared" si="15"/>
        <v>11.97895426113509</v>
      </c>
      <c r="M64" s="11">
        <f t="shared" si="16"/>
        <v>0.96760656401388978</v>
      </c>
      <c r="N64" s="11">
        <f t="shared" si="17"/>
        <v>51.899713085581155</v>
      </c>
      <c r="P64" s="49">
        <f t="shared" si="18"/>
        <v>30.759007764411894</v>
      </c>
      <c r="Q64" s="11">
        <f t="shared" si="19"/>
        <v>15.374203861059609</v>
      </c>
      <c r="R64" s="11">
        <f t="shared" si="20"/>
        <v>50.806630399454235</v>
      </c>
    </row>
    <row r="65" spans="2:18" x14ac:dyDescent="0.3">
      <c r="B65" s="2" t="s">
        <v>7</v>
      </c>
      <c r="C65" s="2" t="s">
        <v>29</v>
      </c>
      <c r="D65" s="1">
        <v>0.1431</v>
      </c>
      <c r="E65" s="1">
        <v>0.30880000000000002</v>
      </c>
      <c r="F65" s="1">
        <v>41</v>
      </c>
      <c r="G65" s="1">
        <v>0.46</v>
      </c>
      <c r="H65" s="1">
        <v>0.64539999999999997</v>
      </c>
      <c r="I65" s="1">
        <v>0.1</v>
      </c>
      <c r="J65" s="12">
        <v>-0.3765</v>
      </c>
      <c r="K65" s="1">
        <v>0.66279999999999994</v>
      </c>
      <c r="L65" s="49">
        <f t="shared" si="15"/>
        <v>66.615852434868145</v>
      </c>
      <c r="M65" s="11">
        <f t="shared" si="16"/>
        <v>13.090910108397761</v>
      </c>
      <c r="N65" s="11">
        <f t="shared" si="17"/>
        <v>97.408934461887426</v>
      </c>
      <c r="P65" s="49">
        <f t="shared" si="18"/>
        <v>57.236852214785387</v>
      </c>
      <c r="Q65" s="11">
        <f t="shared" si="19"/>
        <v>31.584901378562012</v>
      </c>
      <c r="R65" s="11">
        <f t="shared" si="20"/>
        <v>79.992484387189378</v>
      </c>
    </row>
    <row r="66" spans="2:18" x14ac:dyDescent="0.3">
      <c r="B66" s="2" t="s">
        <v>7</v>
      </c>
      <c r="C66" s="2" t="s">
        <v>30</v>
      </c>
      <c r="D66" s="12">
        <v>-0.1555</v>
      </c>
      <c r="E66" s="1">
        <v>0.2374</v>
      </c>
      <c r="F66" s="1">
        <v>41</v>
      </c>
      <c r="G66" s="12">
        <v>-0.66</v>
      </c>
      <c r="H66" s="1">
        <v>0.51600000000000001</v>
      </c>
      <c r="I66" s="1">
        <v>0.1</v>
      </c>
      <c r="J66" s="12">
        <v>-0.55510000000000004</v>
      </c>
      <c r="K66" s="1">
        <v>0.24399999999999999</v>
      </c>
      <c r="L66" s="49">
        <f t="shared" si="15"/>
        <v>32.045128915624879</v>
      </c>
      <c r="M66" s="11">
        <f t="shared" si="16"/>
        <v>5.0526113987416768</v>
      </c>
      <c r="N66" s="11">
        <f t="shared" si="17"/>
        <v>76.745034188596193</v>
      </c>
      <c r="P66" s="49">
        <f t="shared" si="18"/>
        <v>42.144185403338</v>
      </c>
      <c r="Q66" s="11">
        <f t="shared" si="19"/>
        <v>24.023279194153563</v>
      </c>
      <c r="R66" s="11">
        <f t="shared" si="20"/>
        <v>62.206235856509252</v>
      </c>
    </row>
    <row r="67" spans="2:18" x14ac:dyDescent="0.3">
      <c r="B67" s="2" t="s">
        <v>7</v>
      </c>
      <c r="C67" s="2" t="s">
        <v>31</v>
      </c>
      <c r="D67" s="1">
        <v>0.16300000000000001</v>
      </c>
      <c r="E67" s="1">
        <v>0.24329999999999999</v>
      </c>
      <c r="F67" s="1">
        <v>41</v>
      </c>
      <c r="G67" s="1">
        <v>0.67</v>
      </c>
      <c r="H67" s="1">
        <v>0.50680000000000003</v>
      </c>
      <c r="I67" s="1">
        <v>0.1</v>
      </c>
      <c r="J67" s="12">
        <v>-0.2465</v>
      </c>
      <c r="K67" s="1">
        <v>0.57250000000000001</v>
      </c>
      <c r="L67" s="49">
        <f t="shared" si="15"/>
        <v>68.753298750180846</v>
      </c>
      <c r="M67" s="11">
        <f t="shared" si="16"/>
        <v>23.028439145332179</v>
      </c>
      <c r="N67" s="11">
        <f t="shared" si="17"/>
        <v>95.443174170461447</v>
      </c>
      <c r="P67" s="49">
        <f t="shared" si="18"/>
        <v>58.229222990800643</v>
      </c>
      <c r="Q67" s="11">
        <f t="shared" si="19"/>
        <v>37.672884404592736</v>
      </c>
      <c r="R67" s="11">
        <f t="shared" si="20"/>
        <v>76.654889286716426</v>
      </c>
    </row>
    <row r="68" spans="2:18" x14ac:dyDescent="0.3">
      <c r="B68" s="2" t="s">
        <v>7</v>
      </c>
      <c r="C68" s="2" t="s">
        <v>32</v>
      </c>
      <c r="D68" s="1">
        <v>1.1599999999999999E-2</v>
      </c>
      <c r="E68" s="1">
        <v>0.26040000000000002</v>
      </c>
      <c r="F68" s="1">
        <v>41</v>
      </c>
      <c r="G68" s="1">
        <v>0.04</v>
      </c>
      <c r="H68" s="1">
        <v>0.9647</v>
      </c>
      <c r="I68" s="1">
        <v>0.1</v>
      </c>
      <c r="J68" s="12">
        <v>-0.42659999999999998</v>
      </c>
      <c r="K68" s="1">
        <v>0.44979999999999998</v>
      </c>
      <c r="L68" s="49">
        <f t="shared" si="15"/>
        <v>51.389703054297527</v>
      </c>
      <c r="M68" s="11">
        <f t="shared" si="16"/>
        <v>10.228068125525503</v>
      </c>
      <c r="N68" s="11">
        <f t="shared" si="17"/>
        <v>90.925777828605177</v>
      </c>
      <c r="P68" s="49">
        <f t="shared" si="18"/>
        <v>50.589988658132491</v>
      </c>
      <c r="Q68" s="11">
        <f t="shared" si="19"/>
        <v>29.359757105600735</v>
      </c>
      <c r="R68" s="11">
        <f t="shared" si="20"/>
        <v>71.644550280676327</v>
      </c>
    </row>
    <row r="69" spans="2:18" x14ac:dyDescent="0.3">
      <c r="B69" s="2" t="s">
        <v>7</v>
      </c>
      <c r="C69" s="2" t="s">
        <v>33</v>
      </c>
      <c r="D69" s="1">
        <v>2.997E-2</v>
      </c>
      <c r="E69" s="1">
        <v>0.30259999999999998</v>
      </c>
      <c r="F69" s="1">
        <v>41</v>
      </c>
      <c r="G69" s="1">
        <v>0.1</v>
      </c>
      <c r="H69" s="1">
        <v>0.92159999999999997</v>
      </c>
      <c r="I69" s="1">
        <v>0.1</v>
      </c>
      <c r="J69" s="12">
        <v>-0.47939999999999999</v>
      </c>
      <c r="K69" s="1">
        <v>0.5393</v>
      </c>
      <c r="L69" s="49">
        <f t="shared" si="15"/>
        <v>53.586196113047933</v>
      </c>
      <c r="M69" s="11">
        <f t="shared" si="16"/>
        <v>7.7507596522985391</v>
      </c>
      <c r="N69" s="11">
        <f t="shared" si="17"/>
        <v>94.459371634549058</v>
      </c>
      <c r="P69" s="49">
        <f t="shared" si="18"/>
        <v>51.523979974996934</v>
      </c>
      <c r="Q69" s="11">
        <f t="shared" si="19"/>
        <v>27.099385217115891</v>
      </c>
      <c r="R69" s="11">
        <f t="shared" si="20"/>
        <v>75.351384564728463</v>
      </c>
    </row>
    <row r="70" spans="2:18" x14ac:dyDescent="0.3">
      <c r="B70" s="2" t="s">
        <v>7</v>
      </c>
      <c r="C70" s="2" t="s">
        <v>34</v>
      </c>
      <c r="D70" s="1">
        <v>5.1700000000000003E-2</v>
      </c>
      <c r="E70" s="1">
        <v>0.30359999999999998</v>
      </c>
      <c r="F70" s="1">
        <v>41</v>
      </c>
      <c r="G70" s="1">
        <v>0.17</v>
      </c>
      <c r="H70" s="1">
        <v>0.86560000000000004</v>
      </c>
      <c r="I70" s="1">
        <v>0.1</v>
      </c>
      <c r="J70" s="12">
        <v>-0.45929999999999999</v>
      </c>
      <c r="K70" s="1">
        <v>0.56269999999999998</v>
      </c>
      <c r="L70" s="49">
        <f t="shared" si="15"/>
        <v>56.169345118413261</v>
      </c>
      <c r="M70" s="11">
        <f t="shared" si="16"/>
        <v>8.6316996880483821</v>
      </c>
      <c r="N70" s="11">
        <f t="shared" si="17"/>
        <v>95.16917064309402</v>
      </c>
      <c r="P70" s="49">
        <f t="shared" si="18"/>
        <v>52.627644665246677</v>
      </c>
      <c r="Q70" s="11">
        <f t="shared" si="19"/>
        <v>27.949183036227275</v>
      </c>
      <c r="R70" s="11">
        <f t="shared" si="20"/>
        <v>76.274293863390085</v>
      </c>
    </row>
    <row r="71" spans="2:18" x14ac:dyDescent="0.3">
      <c r="B71" s="2" t="s">
        <v>7</v>
      </c>
      <c r="C71" s="2" t="s">
        <v>35</v>
      </c>
      <c r="D71" s="1">
        <v>8.2559999999999995E-2</v>
      </c>
      <c r="E71" s="1">
        <v>0.23330000000000001</v>
      </c>
      <c r="F71" s="1">
        <v>41</v>
      </c>
      <c r="G71" s="1">
        <v>0.35</v>
      </c>
      <c r="H71" s="1">
        <v>0.72519999999999996</v>
      </c>
      <c r="I71" s="1">
        <v>0.1</v>
      </c>
      <c r="J71" s="12">
        <v>-0.31</v>
      </c>
      <c r="K71" s="1">
        <v>0.47510000000000002</v>
      </c>
      <c r="L71" s="49">
        <f t="shared" si="15"/>
        <v>59.788832999536702</v>
      </c>
      <c r="M71" s="11">
        <f t="shared" si="16"/>
        <v>17.716930549887415</v>
      </c>
      <c r="N71" s="11">
        <f t="shared" si="17"/>
        <v>92.066983556524022</v>
      </c>
      <c r="P71" s="49">
        <f t="shared" si="18"/>
        <v>54.191224010569037</v>
      </c>
      <c r="Q71" s="11">
        <f t="shared" si="19"/>
        <v>34.647533059231172</v>
      </c>
      <c r="R71" s="11">
        <f t="shared" si="20"/>
        <v>72.719946276906697</v>
      </c>
    </row>
    <row r="72" spans="2:18" x14ac:dyDescent="0.3">
      <c r="B72" s="2" t="s">
        <v>7</v>
      </c>
      <c r="C72" s="2" t="s">
        <v>36</v>
      </c>
      <c r="D72" s="1">
        <v>0.2293</v>
      </c>
      <c r="E72" s="1">
        <v>0.249</v>
      </c>
      <c r="F72" s="1">
        <v>41</v>
      </c>
      <c r="G72" s="1">
        <v>0.92</v>
      </c>
      <c r="H72" s="1">
        <v>0.36249999999999999</v>
      </c>
      <c r="I72" s="1">
        <v>0.1</v>
      </c>
      <c r="J72" s="12">
        <v>-0.18970000000000001</v>
      </c>
      <c r="K72" s="1">
        <v>0.64829999999999999</v>
      </c>
      <c r="L72" s="49">
        <f t="shared" si="15"/>
        <v>75.387370990299459</v>
      </c>
      <c r="M72" s="11">
        <f t="shared" si="16"/>
        <v>28.479606760047261</v>
      </c>
      <c r="N72" s="11">
        <f t="shared" si="17"/>
        <v>97.154073103348324</v>
      </c>
      <c r="P72" s="49">
        <f t="shared" si="18"/>
        <v>61.492991329675007</v>
      </c>
      <c r="Q72" s="11">
        <f t="shared" si="19"/>
        <v>40.447907251977433</v>
      </c>
      <c r="R72" s="11">
        <f t="shared" si="20"/>
        <v>79.477474167246044</v>
      </c>
    </row>
  </sheetData>
  <mergeCells count="143">
    <mergeCell ref="BD34:BE34"/>
    <mergeCell ref="BA34:BC34"/>
    <mergeCell ref="AZ34:AZ35"/>
    <mergeCell ref="AY34:AY35"/>
    <mergeCell ref="DH33:DI33"/>
    <mergeCell ref="DA33:DG33"/>
    <mergeCell ref="CO33:CW33"/>
    <mergeCell ref="BH33:BM33"/>
    <mergeCell ref="BF33:BG33"/>
    <mergeCell ref="AY33:BE33"/>
    <mergeCell ref="BH34:BK34"/>
    <mergeCell ref="CI34:CL34"/>
    <mergeCell ref="BN34:BP35"/>
    <mergeCell ref="BL34:BM34"/>
    <mergeCell ref="BN33:BV33"/>
    <mergeCell ref="BZ33:CF33"/>
    <mergeCell ref="CG33:CH33"/>
    <mergeCell ref="BQ34:BS35"/>
    <mergeCell ref="BT34:BV35"/>
    <mergeCell ref="BW34:BW35"/>
    <mergeCell ref="BZ34:BZ35"/>
    <mergeCell ref="CA34:CA35"/>
    <mergeCell ref="CB34:CD34"/>
    <mergeCell ref="CE34:CF34"/>
    <mergeCell ref="DJ30:DM30"/>
    <mergeCell ref="DJ34:DM34"/>
    <mergeCell ref="DY34:DY35"/>
    <mergeCell ref="CX34:CX35"/>
    <mergeCell ref="CU34:CW35"/>
    <mergeCell ref="CR34:CT35"/>
    <mergeCell ref="CO34:CQ35"/>
    <mergeCell ref="DY30:DY31"/>
    <mergeCell ref="DH29:DI29"/>
    <mergeCell ref="DJ29:DO29"/>
    <mergeCell ref="DP29:DX29"/>
    <mergeCell ref="DA30:DA31"/>
    <mergeCell ref="DB30:DB31"/>
    <mergeCell ref="DC30:DE30"/>
    <mergeCell ref="DF30:DG30"/>
    <mergeCell ref="DN30:DO30"/>
    <mergeCell ref="DP30:DR31"/>
    <mergeCell ref="DS30:DU31"/>
    <mergeCell ref="DV30:DX31"/>
    <mergeCell ref="DA29:DG29"/>
    <mergeCell ref="CX30:CX31"/>
    <mergeCell ref="B8:I8"/>
    <mergeCell ref="B9:B10"/>
    <mergeCell ref="C9:C10"/>
    <mergeCell ref="D9:D10"/>
    <mergeCell ref="F9:F10"/>
    <mergeCell ref="G9:G10"/>
    <mergeCell ref="H9:I10"/>
    <mergeCell ref="P3:Q3"/>
    <mergeCell ref="BH15:BK15"/>
    <mergeCell ref="AZ15:AZ16"/>
    <mergeCell ref="BA15:BC15"/>
    <mergeCell ref="BD15:BE15"/>
    <mergeCell ref="B57:K57"/>
    <mergeCell ref="C25:N25"/>
    <mergeCell ref="C26:C27"/>
    <mergeCell ref="D26:D27"/>
    <mergeCell ref="F26:F27"/>
    <mergeCell ref="G26:G27"/>
    <mergeCell ref="H26:H27"/>
    <mergeCell ref="I26:I27"/>
    <mergeCell ref="J26:J27"/>
    <mergeCell ref="K26:K27"/>
    <mergeCell ref="BW30:BW31"/>
    <mergeCell ref="AY29:BE29"/>
    <mergeCell ref="BF29:BG29"/>
    <mergeCell ref="BH29:BM29"/>
    <mergeCell ref="BN29:BV29"/>
    <mergeCell ref="AY30:AY31"/>
    <mergeCell ref="AZ30:AZ31"/>
    <mergeCell ref="BA30:BC30"/>
    <mergeCell ref="BD30:BE30"/>
    <mergeCell ref="BL30:BM30"/>
    <mergeCell ref="BN30:BP31"/>
    <mergeCell ref="BQ30:BS31"/>
    <mergeCell ref="BT30:BV31"/>
    <mergeCell ref="BH30:BK30"/>
    <mergeCell ref="BZ29:CF29"/>
    <mergeCell ref="CG29:CH29"/>
    <mergeCell ref="CI29:CN29"/>
    <mergeCell ref="CO29:CW29"/>
    <mergeCell ref="BZ30:BZ31"/>
    <mergeCell ref="CA30:CA31"/>
    <mergeCell ref="CB30:CD30"/>
    <mergeCell ref="CE30:CF30"/>
    <mergeCell ref="CM30:CN30"/>
    <mergeCell ref="CO30:CQ31"/>
    <mergeCell ref="CR30:CT31"/>
    <mergeCell ref="CU30:CW31"/>
    <mergeCell ref="CM34:CN34"/>
    <mergeCell ref="DJ33:DO33"/>
    <mergeCell ref="DP33:DX33"/>
    <mergeCell ref="DA34:DA35"/>
    <mergeCell ref="DB34:DB35"/>
    <mergeCell ref="DC34:DE34"/>
    <mergeCell ref="DF34:DG34"/>
    <mergeCell ref="DN34:DO34"/>
    <mergeCell ref="DP34:DR35"/>
    <mergeCell ref="DS34:DU35"/>
    <mergeCell ref="DV34:DX35"/>
    <mergeCell ref="CI33:CN33"/>
    <mergeCell ref="BL15:BM15"/>
    <mergeCell ref="AY14:BE14"/>
    <mergeCell ref="BF14:BG14"/>
    <mergeCell ref="BH14:BM14"/>
    <mergeCell ref="BN14:BV14"/>
    <mergeCell ref="BZ14:CF14"/>
    <mergeCell ref="CG14:CH14"/>
    <mergeCell ref="CI14:CN14"/>
    <mergeCell ref="CO14:CW14"/>
    <mergeCell ref="CR15:CT16"/>
    <mergeCell ref="CU15:CW16"/>
    <mergeCell ref="AY15:AY16"/>
    <mergeCell ref="CI15:CL15"/>
    <mergeCell ref="DA14:DG14"/>
    <mergeCell ref="DH14:DI14"/>
    <mergeCell ref="DJ14:DO14"/>
    <mergeCell ref="DP14:DX14"/>
    <mergeCell ref="DV15:DX16"/>
    <mergeCell ref="DY15:DY16"/>
    <mergeCell ref="DC15:DE15"/>
    <mergeCell ref="DF15:DG15"/>
    <mergeCell ref="DN15:DO15"/>
    <mergeCell ref="DP15:DR16"/>
    <mergeCell ref="DS15:DU16"/>
    <mergeCell ref="DJ15:DM15"/>
    <mergeCell ref="CX15:CX16"/>
    <mergeCell ref="DA15:DA16"/>
    <mergeCell ref="DB15:DB16"/>
    <mergeCell ref="CA15:CA16"/>
    <mergeCell ref="CB15:CD15"/>
    <mergeCell ref="CE15:CF15"/>
    <mergeCell ref="CM15:CN15"/>
    <mergeCell ref="CO15:CQ16"/>
    <mergeCell ref="BN15:BP16"/>
    <mergeCell ref="BQ15:BS16"/>
    <mergeCell ref="BT15:BV16"/>
    <mergeCell ref="BW15:BW16"/>
    <mergeCell ref="BZ15:BZ16"/>
  </mergeCells>
  <pageMargins left="0.7" right="0.7" top="0.75" bottom="0.75" header="0.3" footer="0.3"/>
  <pageSetup paperSize="9" orientation="portrait" horizontalDpi="4294967293"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DZ68"/>
  <sheetViews>
    <sheetView zoomScale="90" zoomScaleNormal="90" workbookViewId="0"/>
  </sheetViews>
  <sheetFormatPr defaultRowHeight="15.05" x14ac:dyDescent="0.3"/>
  <cols>
    <col min="3" max="3" width="12.21875" customWidth="1"/>
    <col min="4" max="4" width="12" customWidth="1"/>
    <col min="5" max="5" width="10.21875" customWidth="1"/>
    <col min="6" max="6" width="10.109375" customWidth="1"/>
    <col min="7" max="8" width="8.88671875" customWidth="1"/>
    <col min="12" max="12" width="13.44140625" customWidth="1"/>
    <col min="13" max="14" width="13.21875" customWidth="1"/>
    <col min="15" max="15" width="2.44140625" customWidth="1"/>
    <col min="19" max="19" width="3.109375" customWidth="1"/>
    <col min="20" max="20" width="6.21875" customWidth="1"/>
    <col min="21" max="21" width="3.44140625" customWidth="1"/>
    <col min="25" max="25" width="10.109375" customWidth="1"/>
    <col min="28" max="28" width="4.109375" customWidth="1"/>
    <col min="34" max="34" width="1.88671875" customWidth="1"/>
    <col min="36" max="36" width="3.88671875" customWidth="1"/>
    <col min="42" max="42" width="3" customWidth="1"/>
    <col min="64" max="65" width="23.77734375" customWidth="1"/>
    <col min="67" max="67" width="2.33203125" customWidth="1"/>
    <col min="70" max="70" width="2.33203125" customWidth="1"/>
    <col min="73" max="73" width="2.33203125" customWidth="1"/>
    <col min="75" max="75" width="10.33203125" customWidth="1"/>
    <col min="77" max="77" width="17.5546875" customWidth="1"/>
    <col min="91" max="92" width="23.77734375" customWidth="1"/>
    <col min="94" max="94" width="2.5546875" customWidth="1"/>
    <col min="97" max="97" width="2.6640625" customWidth="1"/>
    <col min="100" max="100" width="2.21875" customWidth="1"/>
    <col min="102" max="102" width="10.44140625" customWidth="1"/>
    <col min="104" max="104" width="17.33203125" customWidth="1"/>
    <col min="118" max="119" width="23.77734375" customWidth="1"/>
    <col min="121" max="121" width="2.33203125" customWidth="1"/>
    <col min="124" max="124" width="2.33203125" customWidth="1"/>
    <col min="127" max="127" width="2.44140625" customWidth="1"/>
    <col min="129" max="129" width="11" customWidth="1"/>
  </cols>
  <sheetData>
    <row r="1" spans="2:130" ht="14.4" x14ac:dyDescent="0.3">
      <c r="B1" s="15" t="s">
        <v>251</v>
      </c>
    </row>
    <row r="2" spans="2:130" ht="14.4" x14ac:dyDescent="0.3">
      <c r="B2" s="129" t="s">
        <v>234</v>
      </c>
      <c r="X2" s="7" t="s">
        <v>187</v>
      </c>
      <c r="Y2" s="7"/>
      <c r="AE2" s="7" t="s">
        <v>192</v>
      </c>
      <c r="AM2" s="7" t="s">
        <v>188</v>
      </c>
      <c r="AS2" s="7" t="s">
        <v>189</v>
      </c>
    </row>
    <row r="3" spans="2:130" ht="14.4" x14ac:dyDescent="0.3">
      <c r="B3" s="144" t="s">
        <v>255</v>
      </c>
      <c r="C3" s="144"/>
      <c r="D3" s="144"/>
      <c r="E3" s="144"/>
      <c r="F3" s="144"/>
      <c r="G3" s="144"/>
      <c r="P3" s="279" t="s">
        <v>179</v>
      </c>
      <c r="Q3" s="279"/>
      <c r="X3" s="8" t="s">
        <v>135</v>
      </c>
      <c r="Y3" s="8"/>
      <c r="AE3" s="8" t="s">
        <v>190</v>
      </c>
      <c r="AM3" s="8" t="s">
        <v>186</v>
      </c>
      <c r="AS3" s="8" t="s">
        <v>181</v>
      </c>
      <c r="AT3" s="7"/>
      <c r="AY3" s="5" t="s">
        <v>207</v>
      </c>
    </row>
    <row r="4" spans="2:130" ht="14.4" x14ac:dyDescent="0.3">
      <c r="B4" s="144"/>
      <c r="C4" s="144"/>
      <c r="D4" s="144"/>
      <c r="E4" s="144"/>
      <c r="F4" s="144"/>
      <c r="G4" s="148" t="s">
        <v>256</v>
      </c>
      <c r="H4" s="74">
        <v>3.5</v>
      </c>
      <c r="I4" s="5" t="s">
        <v>95</v>
      </c>
      <c r="P4" s="127" t="s">
        <v>178</v>
      </c>
      <c r="Q4" s="128" t="s">
        <v>177</v>
      </c>
      <c r="X4" s="8" t="s">
        <v>200</v>
      </c>
      <c r="Y4" s="8"/>
      <c r="AE4" s="8" t="s">
        <v>191</v>
      </c>
      <c r="AM4" s="8" t="s">
        <v>214</v>
      </c>
      <c r="AS4" s="8" t="s">
        <v>182</v>
      </c>
      <c r="AT4" s="8"/>
      <c r="AY4" s="5" t="s">
        <v>209</v>
      </c>
    </row>
    <row r="5" spans="2:130" x14ac:dyDescent="0.3">
      <c r="D5" s="9" t="s">
        <v>176</v>
      </c>
      <c r="E5" s="74" t="s">
        <v>177</v>
      </c>
      <c r="F5" s="205" t="s">
        <v>178</v>
      </c>
      <c r="G5" s="5" t="s">
        <v>245</v>
      </c>
      <c r="J5" s="28"/>
      <c r="K5" s="28"/>
      <c r="P5" s="59" t="str">
        <f>IF(AND(IFERROR(SEARCH("incr",$E$5&amp;$F$5),0),IFERROR(SEARCH("decr",$E$5&amp;$F$5),0)),"???",IF(IFERROR(SEARCH("incr",$E$5&amp;$F$5),0),0,IF(IFERROR(SEARCH("decr",$E$5&amp;$F$5),0),1,"???")))</f>
        <v>???</v>
      </c>
      <c r="Q5" s="59" t="str">
        <f>IF(AND(IFERROR(SEARCH("incr",$E$5&amp;$F$5),0),IFERROR(SEARCH("decr",$E$5&amp;$F$5),0)),"???",IF(IFERROR(SEARCH("incr",$E$5&amp;$F$5),0),1,IF(IFERROR(SEARCH("decr",$E$5&amp;$F$5),0),0,"???")))</f>
        <v>???</v>
      </c>
      <c r="X5" s="8" t="s">
        <v>226</v>
      </c>
      <c r="Y5" s="8"/>
      <c r="AE5" s="8"/>
      <c r="AM5" s="8" t="s">
        <v>215</v>
      </c>
      <c r="AS5" s="8" t="s">
        <v>140</v>
      </c>
      <c r="AT5" s="8"/>
    </row>
    <row r="6" spans="2:130" ht="14.4" x14ac:dyDescent="0.3">
      <c r="B6" s="5" t="s">
        <v>236</v>
      </c>
      <c r="D6" s="9"/>
      <c r="E6" s="9"/>
      <c r="F6" s="9"/>
      <c r="G6" s="9"/>
      <c r="J6" s="28"/>
      <c r="K6" s="28"/>
      <c r="P6" s="59"/>
      <c r="Q6" s="59"/>
      <c r="X6" s="8"/>
      <c r="Y6" s="8"/>
      <c r="AE6" s="8"/>
      <c r="AM6" s="8"/>
      <c r="AS6" s="8"/>
      <c r="AT6" s="8"/>
    </row>
    <row r="7" spans="2:130" ht="22.85" x14ac:dyDescent="0.3">
      <c r="D7" s="28"/>
      <c r="E7" s="28"/>
      <c r="F7" s="119"/>
      <c r="G7" s="5"/>
      <c r="Y7" s="8"/>
      <c r="AY7" s="78">
        <v>0</v>
      </c>
      <c r="AZ7" s="79" t="s">
        <v>143</v>
      </c>
      <c r="BA7" s="80">
        <v>0.5</v>
      </c>
      <c r="BB7" s="79" t="s">
        <v>144</v>
      </c>
      <c r="BC7" s="80">
        <v>5</v>
      </c>
      <c r="BD7" s="79" t="s">
        <v>145</v>
      </c>
      <c r="BE7" s="80">
        <v>25</v>
      </c>
      <c r="BF7" s="81" t="s">
        <v>146</v>
      </c>
      <c r="BG7" s="82">
        <f>100-BE7</f>
        <v>75</v>
      </c>
      <c r="BH7" s="79" t="s">
        <v>147</v>
      </c>
      <c r="BI7" s="82">
        <f>100-BC7</f>
        <v>95</v>
      </c>
      <c r="BJ7" s="79" t="s">
        <v>148</v>
      </c>
      <c r="BK7" s="82">
        <f>100-BA7</f>
        <v>99.5</v>
      </c>
      <c r="BL7" s="123" t="s">
        <v>149</v>
      </c>
    </row>
    <row r="8" spans="2:130" ht="14.4" customHeight="1" x14ac:dyDescent="0.3">
      <c r="B8" s="265" t="s">
        <v>59</v>
      </c>
      <c r="C8" s="265"/>
      <c r="D8" s="265"/>
      <c r="E8" s="265"/>
      <c r="F8" s="265"/>
      <c r="G8" s="265"/>
      <c r="H8" s="265"/>
      <c r="I8" s="265"/>
      <c r="J8" s="75"/>
      <c r="U8" s="6" t="s">
        <v>132</v>
      </c>
      <c r="AM8" s="7" t="s">
        <v>115</v>
      </c>
      <c r="AQ8" s="6" t="s">
        <v>196</v>
      </c>
    </row>
    <row r="9" spans="2:130" ht="14.4" customHeight="1" x14ac:dyDescent="0.3">
      <c r="B9" s="280" t="s">
        <v>0</v>
      </c>
      <c r="C9" s="265" t="s">
        <v>1</v>
      </c>
      <c r="D9" s="265" t="s">
        <v>2</v>
      </c>
      <c r="E9" s="75" t="s">
        <v>3</v>
      </c>
      <c r="F9" s="265" t="s">
        <v>5</v>
      </c>
      <c r="G9" s="265" t="s">
        <v>37</v>
      </c>
      <c r="H9" s="265" t="s">
        <v>6</v>
      </c>
      <c r="I9" s="265"/>
      <c r="J9" s="75"/>
      <c r="T9" s="47"/>
      <c r="U9" s="47"/>
      <c r="V9" s="54" t="s">
        <v>14</v>
      </c>
      <c r="W9" s="54" t="s">
        <v>62</v>
      </c>
      <c r="X9" s="54" t="s">
        <v>15</v>
      </c>
      <c r="Y9" s="54" t="s">
        <v>110</v>
      </c>
      <c r="Z9" s="54" t="s">
        <v>111</v>
      </c>
      <c r="AI9" s="47"/>
      <c r="AJ9" s="47"/>
      <c r="AK9" s="54" t="s">
        <v>14</v>
      </c>
      <c r="AL9" s="54" t="s">
        <v>62</v>
      </c>
      <c r="AM9" s="54" t="s">
        <v>15</v>
      </c>
      <c r="AN9" s="54" t="s">
        <v>110</v>
      </c>
      <c r="AO9" s="54" t="s">
        <v>111</v>
      </c>
      <c r="AQ9" s="54" t="s">
        <v>14</v>
      </c>
      <c r="AR9" s="54" t="s">
        <v>62</v>
      </c>
      <c r="AS9" s="54" t="s">
        <v>15</v>
      </c>
      <c r="AT9" s="54" t="s">
        <v>110</v>
      </c>
      <c r="AU9" s="54" t="s">
        <v>111</v>
      </c>
    </row>
    <row r="10" spans="2:130" x14ac:dyDescent="0.3">
      <c r="B10" s="280"/>
      <c r="C10" s="265"/>
      <c r="D10" s="265"/>
      <c r="E10" s="75" t="s">
        <v>4</v>
      </c>
      <c r="F10" s="265"/>
      <c r="G10" s="265"/>
      <c r="H10" s="265"/>
      <c r="I10" s="265"/>
      <c r="J10" s="75"/>
      <c r="U10" s="24" t="s">
        <v>108</v>
      </c>
      <c r="V10" s="4">
        <f t="shared" ref="V10:Z11" si="0">SQRT(V26)</f>
        <v>0.94868329805051377</v>
      </c>
      <c r="W10" s="4">
        <f t="shared" si="0"/>
        <v>0.83666002653407556</v>
      </c>
      <c r="X10" s="4">
        <f t="shared" si="0"/>
        <v>0.70710678118654757</v>
      </c>
      <c r="Y10" s="4">
        <f t="shared" si="0"/>
        <v>0.54772255750516607</v>
      </c>
      <c r="Z10" s="4">
        <f t="shared" si="0"/>
        <v>0.31622776601683794</v>
      </c>
      <c r="AJ10" s="24" t="s">
        <v>108</v>
      </c>
      <c r="AK10" s="4">
        <f t="shared" ref="AK10:AO11" si="1">0.5*AK26</f>
        <v>-0.1</v>
      </c>
      <c r="AL10" s="4">
        <f t="shared" si="1"/>
        <v>-0.3</v>
      </c>
      <c r="AM10" s="4">
        <f t="shared" si="1"/>
        <v>-0.6</v>
      </c>
      <c r="AN10" s="4">
        <f t="shared" si="1"/>
        <v>-1</v>
      </c>
      <c r="AO10" s="4">
        <f t="shared" si="1"/>
        <v>-2</v>
      </c>
      <c r="AQ10" s="10">
        <f t="shared" ref="AQ10:AU11" si="2">0.5*AQ26</f>
        <v>-0.5</v>
      </c>
      <c r="AR10" s="10">
        <f t="shared" si="2"/>
        <v>-1.5</v>
      </c>
      <c r="AS10" s="10">
        <f t="shared" si="2"/>
        <v>-2.5</v>
      </c>
      <c r="AT10" s="10">
        <f t="shared" si="2"/>
        <v>-3.5</v>
      </c>
      <c r="AU10" s="10">
        <f t="shared" si="2"/>
        <v>-4.5</v>
      </c>
      <c r="AV10" s="71" t="s">
        <v>108</v>
      </c>
    </row>
    <row r="11" spans="2:130" ht="14.4" x14ac:dyDescent="0.3">
      <c r="B11" s="76" t="s">
        <v>7</v>
      </c>
      <c r="C11" s="75" t="s">
        <v>8</v>
      </c>
      <c r="D11" s="1">
        <v>0.34720000000000001</v>
      </c>
      <c r="E11" s="1">
        <v>0.43390000000000001</v>
      </c>
      <c r="F11" s="1">
        <v>0.8</v>
      </c>
      <c r="G11" s="1">
        <v>0.42370000000000002</v>
      </c>
      <c r="H11" s="12">
        <v>-0.36659999999999998</v>
      </c>
      <c r="I11" s="1">
        <v>1.0609</v>
      </c>
      <c r="J11" s="1"/>
      <c r="L11" s="29"/>
      <c r="M11" s="29"/>
      <c r="U11" s="24" t="s">
        <v>109</v>
      </c>
      <c r="V11" s="4">
        <f t="shared" si="0"/>
        <v>1.0540925533894598</v>
      </c>
      <c r="W11" s="4">
        <f t="shared" si="0"/>
        <v>1.1952286093343936</v>
      </c>
      <c r="X11" s="4">
        <f t="shared" si="0"/>
        <v>1.4142135623730951</v>
      </c>
      <c r="Y11" s="4">
        <f t="shared" si="0"/>
        <v>1.8257418583505538</v>
      </c>
      <c r="Z11" s="10">
        <f t="shared" si="0"/>
        <v>3.1622776601683795</v>
      </c>
      <c r="AJ11" s="24" t="s">
        <v>109</v>
      </c>
      <c r="AK11" s="4">
        <f t="shared" si="1"/>
        <v>0.1</v>
      </c>
      <c r="AL11" s="4">
        <f t="shared" si="1"/>
        <v>0.3</v>
      </c>
      <c r="AM11" s="4">
        <f t="shared" si="1"/>
        <v>0.6</v>
      </c>
      <c r="AN11" s="4">
        <f t="shared" si="1"/>
        <v>1</v>
      </c>
      <c r="AO11" s="4">
        <f t="shared" si="1"/>
        <v>2</v>
      </c>
      <c r="AQ11" s="10">
        <f t="shared" si="2"/>
        <v>0.5</v>
      </c>
      <c r="AR11" s="10">
        <f t="shared" si="2"/>
        <v>1.5</v>
      </c>
      <c r="AS11" s="10">
        <f t="shared" si="2"/>
        <v>2.5</v>
      </c>
      <c r="AT11" s="10">
        <f t="shared" si="2"/>
        <v>3.5</v>
      </c>
      <c r="AU11" s="10">
        <f t="shared" si="2"/>
        <v>4.5</v>
      </c>
      <c r="AV11" s="71" t="s">
        <v>109</v>
      </c>
    </row>
    <row r="12" spans="2:130" ht="14.4" x14ac:dyDescent="0.3">
      <c r="B12" s="44" t="s">
        <v>9</v>
      </c>
      <c r="C12" s="75"/>
      <c r="D12" s="1">
        <v>-3.2280000000000003E-2</v>
      </c>
      <c r="E12" s="1">
        <v>0.16020000000000001</v>
      </c>
      <c r="F12" s="1">
        <v>-0.2</v>
      </c>
      <c r="G12" s="1">
        <v>0.84030000000000005</v>
      </c>
      <c r="H12" s="12">
        <v>-0.29580000000000001</v>
      </c>
      <c r="I12" s="1">
        <v>0.23119999999999999</v>
      </c>
      <c r="J12" s="121" t="s">
        <v>205</v>
      </c>
      <c r="K12" s="28"/>
      <c r="L12" s="14"/>
      <c r="M12" s="5"/>
    </row>
    <row r="13" spans="2:130" ht="15.65" customHeight="1" x14ac:dyDescent="0.3">
      <c r="B13" s="44" t="s">
        <v>10</v>
      </c>
      <c r="C13" s="75"/>
      <c r="D13" s="1">
        <v>0.83430000000000004</v>
      </c>
      <c r="E13" s="1">
        <v>0.29470000000000002</v>
      </c>
      <c r="F13" s="1">
        <v>2.83</v>
      </c>
      <c r="G13" s="1">
        <v>2.3E-3</v>
      </c>
      <c r="H13" s="1">
        <v>0.50780000000000003</v>
      </c>
      <c r="I13" s="1">
        <v>1.6752</v>
      </c>
      <c r="J13" s="121" t="s">
        <v>201</v>
      </c>
      <c r="K13" s="40"/>
      <c r="L13" s="32"/>
    </row>
    <row r="14" spans="2:130" ht="15.65" customHeight="1" x14ac:dyDescent="0.3">
      <c r="V14" s="55"/>
      <c r="W14" s="55"/>
      <c r="X14" s="56" t="s">
        <v>105</v>
      </c>
      <c r="Y14" s="56"/>
      <c r="Z14" s="55"/>
      <c r="AA14" s="55"/>
      <c r="AB14" s="57"/>
      <c r="AC14" s="55"/>
      <c r="AD14" s="55"/>
      <c r="AE14" s="56" t="s">
        <v>106</v>
      </c>
      <c r="AG14" s="55"/>
      <c r="AH14" s="55"/>
      <c r="AI14" s="55"/>
      <c r="AJ14" s="55"/>
      <c r="AK14" s="55"/>
      <c r="AL14" s="55"/>
      <c r="AM14" s="56" t="s">
        <v>213</v>
      </c>
      <c r="AN14" s="57"/>
      <c r="AO14" s="57"/>
      <c r="AP14" s="57"/>
      <c r="AQ14" s="55"/>
      <c r="AR14" s="55"/>
      <c r="AS14" s="56" t="s">
        <v>197</v>
      </c>
      <c r="AT14" s="56"/>
      <c r="AU14" s="55"/>
      <c r="AV14" s="55"/>
      <c r="AY14" s="266" t="s">
        <v>170</v>
      </c>
      <c r="AZ14" s="267"/>
      <c r="BA14" s="267"/>
      <c r="BB14" s="267"/>
      <c r="BC14" s="267"/>
      <c r="BD14" s="267"/>
      <c r="BE14" s="268"/>
      <c r="BF14" s="277" t="s">
        <v>208</v>
      </c>
      <c r="BG14" s="278"/>
      <c r="BH14" s="281" t="s">
        <v>174</v>
      </c>
      <c r="BI14" s="282"/>
      <c r="BJ14" s="282"/>
      <c r="BK14" s="282"/>
      <c r="BL14" s="282"/>
      <c r="BM14" s="283"/>
      <c r="BN14" s="284" t="s">
        <v>150</v>
      </c>
      <c r="BO14" s="285"/>
      <c r="BP14" s="285"/>
      <c r="BQ14" s="285"/>
      <c r="BR14" s="285"/>
      <c r="BS14" s="285"/>
      <c r="BT14" s="285"/>
      <c r="BU14" s="285"/>
      <c r="BV14" s="286"/>
      <c r="BZ14" s="266" t="s">
        <v>169</v>
      </c>
      <c r="CA14" s="267"/>
      <c r="CB14" s="267"/>
      <c r="CC14" s="267"/>
      <c r="CD14" s="267"/>
      <c r="CE14" s="267"/>
      <c r="CF14" s="268"/>
      <c r="CG14" s="277" t="s">
        <v>208</v>
      </c>
      <c r="CH14" s="278"/>
      <c r="CI14" s="281" t="s">
        <v>180</v>
      </c>
      <c r="CJ14" s="282"/>
      <c r="CK14" s="282"/>
      <c r="CL14" s="282"/>
      <c r="CM14" s="282"/>
      <c r="CN14" s="283"/>
      <c r="CO14" s="284" t="s">
        <v>150</v>
      </c>
      <c r="CP14" s="285"/>
      <c r="CQ14" s="285"/>
      <c r="CR14" s="285"/>
      <c r="CS14" s="285"/>
      <c r="CT14" s="285"/>
      <c r="CU14" s="285"/>
      <c r="CV14" s="285"/>
      <c r="CW14" s="286"/>
      <c r="DA14" s="266" t="s">
        <v>173</v>
      </c>
      <c r="DB14" s="267"/>
      <c r="DC14" s="267"/>
      <c r="DD14" s="267"/>
      <c r="DE14" s="267"/>
      <c r="DF14" s="267"/>
      <c r="DG14" s="268"/>
      <c r="DH14" s="277" t="s">
        <v>208</v>
      </c>
      <c r="DI14" s="278"/>
      <c r="DJ14" s="281" t="s">
        <v>199</v>
      </c>
      <c r="DK14" s="282"/>
      <c r="DL14" s="282"/>
      <c r="DM14" s="282"/>
      <c r="DN14" s="282"/>
      <c r="DO14" s="283"/>
      <c r="DP14" s="284" t="s">
        <v>150</v>
      </c>
      <c r="DQ14" s="285"/>
      <c r="DR14" s="285"/>
      <c r="DS14" s="285"/>
      <c r="DT14" s="285"/>
      <c r="DU14" s="285"/>
      <c r="DV14" s="285"/>
      <c r="DW14" s="285"/>
      <c r="DX14" s="286"/>
    </row>
    <row r="15" spans="2:130" x14ac:dyDescent="0.3">
      <c r="B15" s="6" t="s">
        <v>82</v>
      </c>
      <c r="M15" s="7" t="s">
        <v>56</v>
      </c>
      <c r="N15" s="53"/>
      <c r="R15" s="8" t="s">
        <v>85</v>
      </c>
      <c r="S15" s="8"/>
      <c r="U15" s="36"/>
      <c r="V15" s="58"/>
      <c r="W15" s="55"/>
      <c r="X15" s="59" t="s">
        <v>195</v>
      </c>
      <c r="Y15" s="59"/>
      <c r="Z15" s="55"/>
      <c r="AA15" s="55"/>
      <c r="AB15" s="57"/>
      <c r="AC15" s="55"/>
      <c r="AD15" s="55"/>
      <c r="AE15" s="8" t="s">
        <v>191</v>
      </c>
      <c r="AF15" s="58"/>
      <c r="AG15" s="58"/>
      <c r="AH15" s="58"/>
      <c r="AI15" s="58" t="s">
        <v>75</v>
      </c>
      <c r="AJ15" s="55"/>
      <c r="AK15" s="55"/>
      <c r="AL15" s="55"/>
      <c r="AM15" s="59" t="s">
        <v>193</v>
      </c>
      <c r="AN15" s="57"/>
      <c r="AO15" s="57"/>
      <c r="AP15" s="57"/>
      <c r="AQ15" s="55"/>
      <c r="AR15" s="55"/>
      <c r="AS15" s="8" t="s">
        <v>185</v>
      </c>
      <c r="AT15" s="59"/>
      <c r="AU15" s="55"/>
      <c r="AV15" s="55"/>
      <c r="AY15" s="269" t="s">
        <v>175</v>
      </c>
      <c r="AZ15" s="271" t="s">
        <v>152</v>
      </c>
      <c r="BA15" s="273" t="s">
        <v>153</v>
      </c>
      <c r="BB15" s="274"/>
      <c r="BC15" s="275"/>
      <c r="BD15" s="276" t="s">
        <v>154</v>
      </c>
      <c r="BE15" s="276"/>
      <c r="BF15" s="106" t="s">
        <v>171</v>
      </c>
      <c r="BG15" s="107" t="s">
        <v>172</v>
      </c>
      <c r="BH15" s="273" t="str">
        <f>"Effect &amp; re-estimated "&amp;BE17&amp;"% confidence limits"</f>
        <v>Effect &amp; re-estimated 90% confidence limits</v>
      </c>
      <c r="BI15" s="274"/>
      <c r="BJ15" s="274"/>
      <c r="BK15" s="275"/>
      <c r="BL15" s="277" t="s">
        <v>155</v>
      </c>
      <c r="BM15" s="278"/>
      <c r="BN15" s="287" t="e">
        <f>"...beneficial or
substantially "&amp;BF16</f>
        <v>#VALUE!</v>
      </c>
      <c r="BO15" s="288"/>
      <c r="BP15" s="289"/>
      <c r="BQ15" s="293" t="s">
        <v>156</v>
      </c>
      <c r="BR15" s="293"/>
      <c r="BS15" s="294"/>
      <c r="BT15" s="297" t="e">
        <f>"...harmful or 
substantially "&amp;BG16</f>
        <v>#VALUE!</v>
      </c>
      <c r="BU15" s="298"/>
      <c r="BV15" s="299"/>
      <c r="BW15" s="303"/>
      <c r="BZ15" s="269" t="s">
        <v>151</v>
      </c>
      <c r="CA15" s="271" t="s">
        <v>152</v>
      </c>
      <c r="CB15" s="273" t="s">
        <v>153</v>
      </c>
      <c r="CC15" s="274"/>
      <c r="CD15" s="275"/>
      <c r="CE15" s="276" t="s">
        <v>154</v>
      </c>
      <c r="CF15" s="276"/>
      <c r="CG15" s="231" t="s">
        <v>171</v>
      </c>
      <c r="CH15" s="232" t="s">
        <v>172</v>
      </c>
      <c r="CI15" s="273" t="str">
        <f>"Effect &amp; re-estimated "&amp;CF17&amp;"% confidence limits"</f>
        <v>Effect &amp; re-estimated 90% confidence limits</v>
      </c>
      <c r="CJ15" s="274"/>
      <c r="CK15" s="274"/>
      <c r="CL15" s="275"/>
      <c r="CM15" s="277" t="s">
        <v>155</v>
      </c>
      <c r="CN15" s="278"/>
      <c r="CO15" s="287" t="e">
        <f>"...beneficial or
substantially "&amp;CG16</f>
        <v>#VALUE!</v>
      </c>
      <c r="CP15" s="288"/>
      <c r="CQ15" s="289"/>
      <c r="CR15" s="293" t="s">
        <v>156</v>
      </c>
      <c r="CS15" s="293"/>
      <c r="CT15" s="294"/>
      <c r="CU15" s="297" t="e">
        <f>"...harmful or 
substantially "&amp;CH16</f>
        <v>#VALUE!</v>
      </c>
      <c r="CV15" s="298"/>
      <c r="CW15" s="299"/>
      <c r="CX15" s="303"/>
      <c r="DA15" s="269" t="s">
        <v>151</v>
      </c>
      <c r="DB15" s="271" t="s">
        <v>152</v>
      </c>
      <c r="DC15" s="273" t="s">
        <v>153</v>
      </c>
      <c r="DD15" s="274"/>
      <c r="DE15" s="275"/>
      <c r="DF15" s="276" t="s">
        <v>154</v>
      </c>
      <c r="DG15" s="276"/>
      <c r="DH15" s="231" t="s">
        <v>171</v>
      </c>
      <c r="DI15" s="232" t="s">
        <v>172</v>
      </c>
      <c r="DJ15" s="273" t="str">
        <f>"Effect &amp; re-estimated "&amp;DG17&amp;"% confidence limits"</f>
        <v>Effect &amp; re-estimated 90% confidence limits</v>
      </c>
      <c r="DK15" s="274"/>
      <c r="DL15" s="274"/>
      <c r="DM15" s="275"/>
      <c r="DN15" s="277" t="s">
        <v>155</v>
      </c>
      <c r="DO15" s="278"/>
      <c r="DP15" s="287" t="e">
        <f>"...beneficial or
substantially "&amp;DH16</f>
        <v>#VALUE!</v>
      </c>
      <c r="DQ15" s="288"/>
      <c r="DR15" s="289"/>
      <c r="DS15" s="293" t="s">
        <v>156</v>
      </c>
      <c r="DT15" s="293"/>
      <c r="DU15" s="294"/>
      <c r="DV15" s="297" t="e">
        <f>"...harmful or 
substantially "&amp;DI16</f>
        <v>#VALUE!</v>
      </c>
      <c r="DW15" s="298"/>
      <c r="DX15" s="299"/>
      <c r="DY15" s="303"/>
    </row>
    <row r="16" spans="2:130" ht="14.4" customHeight="1" x14ac:dyDescent="0.3">
      <c r="B16" s="43"/>
      <c r="C16" s="43"/>
      <c r="D16" s="54" t="s">
        <v>2</v>
      </c>
      <c r="E16" s="54" t="s">
        <v>12</v>
      </c>
      <c r="F16" s="54" t="s">
        <v>13</v>
      </c>
      <c r="G16" s="54" t="s">
        <v>137</v>
      </c>
      <c r="H16" s="54" t="s">
        <v>22</v>
      </c>
      <c r="L16" s="54" t="s">
        <v>2</v>
      </c>
      <c r="M16" s="54" t="s">
        <v>12</v>
      </c>
      <c r="N16" s="54" t="s">
        <v>13</v>
      </c>
      <c r="R16" s="54" t="s">
        <v>84</v>
      </c>
      <c r="S16" s="8"/>
      <c r="V16" s="60" t="s">
        <v>2</v>
      </c>
      <c r="W16" s="191" t="s">
        <v>260</v>
      </c>
      <c r="X16" s="191" t="s">
        <v>261</v>
      </c>
      <c r="Y16" s="206" t="s">
        <v>231</v>
      </c>
      <c r="Z16" s="191" t="s">
        <v>61</v>
      </c>
      <c r="AA16" s="191" t="s">
        <v>60</v>
      </c>
      <c r="AB16" s="139"/>
      <c r="AC16" s="191" t="s">
        <v>2</v>
      </c>
      <c r="AD16" s="191" t="s">
        <v>260</v>
      </c>
      <c r="AE16" s="191" t="s">
        <v>261</v>
      </c>
      <c r="AF16" s="191" t="s">
        <v>61</v>
      </c>
      <c r="AG16" s="191" t="s">
        <v>60</v>
      </c>
      <c r="AH16" s="191"/>
      <c r="AI16" s="192" t="s">
        <v>83</v>
      </c>
      <c r="AJ16" s="144"/>
      <c r="AK16" s="191" t="s">
        <v>2</v>
      </c>
      <c r="AL16" s="191" t="s">
        <v>260</v>
      </c>
      <c r="AM16" s="191" t="s">
        <v>261</v>
      </c>
      <c r="AN16" s="193" t="s">
        <v>61</v>
      </c>
      <c r="AO16" s="193" t="s">
        <v>60</v>
      </c>
      <c r="AP16" s="139"/>
      <c r="AQ16" s="191" t="s">
        <v>2</v>
      </c>
      <c r="AR16" s="191" t="s">
        <v>260</v>
      </c>
      <c r="AS16" s="191" t="s">
        <v>261</v>
      </c>
      <c r="AT16" s="60" t="s">
        <v>230</v>
      </c>
      <c r="AU16" s="62" t="s">
        <v>61</v>
      </c>
      <c r="AV16" s="62" t="s">
        <v>60</v>
      </c>
      <c r="AY16" s="270"/>
      <c r="AZ16" s="272"/>
      <c r="BA16" s="87" t="s">
        <v>232</v>
      </c>
      <c r="BB16" s="88" t="s">
        <v>233</v>
      </c>
      <c r="BC16" s="93" t="s">
        <v>225</v>
      </c>
      <c r="BD16" s="89" t="s">
        <v>160</v>
      </c>
      <c r="BE16" s="90" t="s">
        <v>161</v>
      </c>
      <c r="BF16" s="91" t="e">
        <f>IF(BF17&lt;1,"decr.","incr.")</f>
        <v>#VALUE!</v>
      </c>
      <c r="BG16" s="92" t="e">
        <f>IF(BG17&gt;1,"incr.","decr.")</f>
        <v>#VALUE!</v>
      </c>
      <c r="BH16" s="83" t="s">
        <v>17</v>
      </c>
      <c r="BI16" s="90" t="s">
        <v>223</v>
      </c>
      <c r="BJ16" s="90" t="s">
        <v>224</v>
      </c>
      <c r="BK16" s="93" t="s">
        <v>225</v>
      </c>
      <c r="BL16" s="94" t="s">
        <v>164</v>
      </c>
      <c r="BM16" s="95" t="s">
        <v>165</v>
      </c>
      <c r="BN16" s="290"/>
      <c r="BO16" s="291"/>
      <c r="BP16" s="292"/>
      <c r="BQ16" s="295"/>
      <c r="BR16" s="295"/>
      <c r="BS16" s="296"/>
      <c r="BT16" s="300"/>
      <c r="BU16" s="301"/>
      <c r="BV16" s="302"/>
      <c r="BW16" s="304"/>
      <c r="BX16" s="97" t="s">
        <v>167</v>
      </c>
      <c r="BZ16" s="270"/>
      <c r="CA16" s="272"/>
      <c r="CB16" s="87" t="s">
        <v>232</v>
      </c>
      <c r="CC16" s="88" t="s">
        <v>233</v>
      </c>
      <c r="CD16" s="93" t="s">
        <v>222</v>
      </c>
      <c r="CE16" s="89" t="s">
        <v>160</v>
      </c>
      <c r="CF16" s="90" t="s">
        <v>161</v>
      </c>
      <c r="CG16" s="217" t="e">
        <f>IF(CG17&lt;0,"decr.","incr.")</f>
        <v>#VALUE!</v>
      </c>
      <c r="CH16" s="218" t="e">
        <f>IF(CH17&gt;0,"incr.","decr.")</f>
        <v>#VALUE!</v>
      </c>
      <c r="CI16" s="83" t="s">
        <v>17</v>
      </c>
      <c r="CJ16" s="90" t="s">
        <v>223</v>
      </c>
      <c r="CK16" s="90" t="s">
        <v>224</v>
      </c>
      <c r="CL16" s="93" t="s">
        <v>222</v>
      </c>
      <c r="CM16" s="94" t="s">
        <v>164</v>
      </c>
      <c r="CN16" s="95" t="s">
        <v>165</v>
      </c>
      <c r="CO16" s="290"/>
      <c r="CP16" s="291"/>
      <c r="CQ16" s="292"/>
      <c r="CR16" s="295"/>
      <c r="CS16" s="295"/>
      <c r="CT16" s="296"/>
      <c r="CU16" s="300"/>
      <c r="CV16" s="301"/>
      <c r="CW16" s="302"/>
      <c r="CX16" s="304"/>
      <c r="CY16" s="96" t="s">
        <v>167</v>
      </c>
      <c r="DA16" s="270"/>
      <c r="DB16" s="272"/>
      <c r="DC16" s="87" t="s">
        <v>232</v>
      </c>
      <c r="DD16" s="88" t="s">
        <v>233</v>
      </c>
      <c r="DE16" s="93" t="s">
        <v>222</v>
      </c>
      <c r="DF16" s="89" t="s">
        <v>160</v>
      </c>
      <c r="DG16" s="90" t="s">
        <v>161</v>
      </c>
      <c r="DH16" s="217" t="e">
        <f>IF(DH17&lt;0,"decr.","incr.")</f>
        <v>#VALUE!</v>
      </c>
      <c r="DI16" s="218" t="e">
        <f>IF(DI17&gt;0,"incr.","decr.")</f>
        <v>#VALUE!</v>
      </c>
      <c r="DJ16" s="83" t="s">
        <v>17</v>
      </c>
      <c r="DK16" s="90" t="s">
        <v>223</v>
      </c>
      <c r="DL16" s="90" t="s">
        <v>224</v>
      </c>
      <c r="DM16" s="93" t="s">
        <v>222</v>
      </c>
      <c r="DN16" s="94" t="s">
        <v>164</v>
      </c>
      <c r="DO16" s="95" t="s">
        <v>165</v>
      </c>
      <c r="DP16" s="290"/>
      <c r="DQ16" s="291"/>
      <c r="DR16" s="292"/>
      <c r="DS16" s="295"/>
      <c r="DT16" s="295"/>
      <c r="DU16" s="296"/>
      <c r="DV16" s="300"/>
      <c r="DW16" s="301"/>
      <c r="DX16" s="302"/>
      <c r="DY16" s="304"/>
      <c r="DZ16" s="96" t="s">
        <v>167</v>
      </c>
    </row>
    <row r="17" spans="2:130" ht="14.4" x14ac:dyDescent="0.3">
      <c r="B17" s="3" t="str">
        <f>B11</f>
        <v>Intercept</v>
      </c>
      <c r="C17" s="3" t="str">
        <f>C11</f>
        <v>AthleteID</v>
      </c>
      <c r="D17" s="4">
        <f>IFERROR(SQRT(D11),-SQRT(-D11))</f>
        <v>0.58923679450624944</v>
      </c>
      <c r="E17" s="4">
        <f>IFERROR(SQRT(H11),-SQRT(-H11))</f>
        <v>-0.60547502012882415</v>
      </c>
      <c r="F17" s="4">
        <f>IFERROR(SQRT(I11),-SQRT(-I11))</f>
        <v>1.03</v>
      </c>
      <c r="G17" s="4">
        <f>D11/E11</f>
        <v>0.80018437427978795</v>
      </c>
      <c r="H17" s="4">
        <f>(100-MID($H$9,6,2))/100</f>
        <v>0.1</v>
      </c>
      <c r="L17" s="4">
        <f>EXP(D17)</f>
        <v>1.8026121267908812</v>
      </c>
      <c r="M17" s="4">
        <f t="shared" ref="M17:N18" si="3">EXP(E17)</f>
        <v>0.54581509189470789</v>
      </c>
      <c r="N17" s="4">
        <f t="shared" si="3"/>
        <v>2.8010658346990791</v>
      </c>
      <c r="R17" s="4">
        <f>$L$28/SQRT(L17)/(1+$L$28/SQRT(L17))</f>
        <v>0.65418063480827826</v>
      </c>
      <c r="S17" s="4"/>
      <c r="U17" s="24" t="str">
        <f>C17</f>
        <v>AthleteID</v>
      </c>
      <c r="V17" s="48">
        <f>$L$28*SQRT(L17)/(1+$L$28*SQRT(L17))/($L$28/SQRT(L17)/(1+$L$28/SQRT(L17)))</f>
        <v>1.1819994188079788</v>
      </c>
      <c r="W17" s="48">
        <f>EXP(LN(V17)-_xlfn.T.INV.2T(H17,999)*ABS(LN(V17))/ABS(G17))</f>
        <v>0.83792887036184149</v>
      </c>
      <c r="X17" s="48">
        <f>EXP(LN(V17)+_xlfn.T.INV.2T(H17,999)*ABS(LN(V17))/ABS(G17))</f>
        <v>1.6673522962146923</v>
      </c>
      <c r="Y17" s="48">
        <f>SQRT(X17/W17)</f>
        <v>1.4106202335498452</v>
      </c>
      <c r="Z17" s="4">
        <f>SQRT(0.9)</f>
        <v>0.94868329805051377</v>
      </c>
      <c r="AA17" s="4">
        <f>1/Z17</f>
        <v>1.0540925533894598</v>
      </c>
      <c r="AC17" s="4">
        <f t="shared" ref="AC17:AE18" si="4">D17</f>
        <v>0.58923679450624944</v>
      </c>
      <c r="AD17" s="4">
        <f t="shared" si="4"/>
        <v>-0.60547502012882415</v>
      </c>
      <c r="AE17" s="4">
        <f t="shared" si="4"/>
        <v>1.03</v>
      </c>
      <c r="AF17" s="4">
        <f>LN(Z17*$L$28/SQRT(L17)/(1+$L$28/SQRT(L17))/(1-Z17*$L$28/SQRT(L17)/(1+$L$28/SQRT(L17)))/($L$28/SQRT(L17)))</f>
        <v>-0.14532774649859098</v>
      </c>
      <c r="AG17" s="4">
        <f>LN(AA17*$L$28/SQRT(L17)/(1+$L$28/SQRT(L17))/(1-AA17*$L$28/SQRT(L17)/(1+$L$28/SQRT(L17)))/($L$28/SQRT(L17)))</f>
        <v>0.16062852649587941</v>
      </c>
      <c r="AH17" s="4"/>
      <c r="AI17" s="4">
        <f>SQRT($D$11+$D$13*(1/($H$4*R17)+1/($H$4*(1-R17))))</f>
        <v>1.1835861972631974</v>
      </c>
      <c r="AJ17" s="5"/>
      <c r="AK17" s="4">
        <f>AC17/AI17</f>
        <v>0.49784020451466893</v>
      </c>
      <c r="AL17" s="4">
        <f>AD17/AI17</f>
        <v>-0.51155971700993319</v>
      </c>
      <c r="AM17" s="4">
        <f>AE17/AI17</f>
        <v>0.87023657624739603</v>
      </c>
      <c r="AN17" s="4">
        <v>-0.1</v>
      </c>
      <c r="AO17" s="4">
        <f>-AN17</f>
        <v>0.1</v>
      </c>
      <c r="AQ17" s="50">
        <f t="shared" ref="AQ17:AS18" si="5">10*(2*SQRT(L17)/(1+SQRT(L17))-1)</f>
        <v>1.4625283041929027</v>
      </c>
      <c r="AR17" s="50">
        <f t="shared" si="5"/>
        <v>-1.5022317426896503</v>
      </c>
      <c r="AS17" s="50">
        <f t="shared" si="5"/>
        <v>2.5195571553320772</v>
      </c>
      <c r="AT17" s="50">
        <f>(AS17-AR17)/2</f>
        <v>2.0108944490108636</v>
      </c>
      <c r="AU17" s="10">
        <f>$AQ$10</f>
        <v>-0.5</v>
      </c>
      <c r="AV17" s="10">
        <f>$AQ$11</f>
        <v>0.5</v>
      </c>
      <c r="AW17" s="6" t="str">
        <f>U17</f>
        <v>AthleteID</v>
      </c>
      <c r="AY17" s="108">
        <f>V17</f>
        <v>1.1819994188079788</v>
      </c>
      <c r="AZ17" s="109">
        <v>999</v>
      </c>
      <c r="BA17" s="108">
        <f>W17</f>
        <v>0.83792887036184149</v>
      </c>
      <c r="BB17" s="108">
        <f>X17</f>
        <v>1.6673522962146923</v>
      </c>
      <c r="BC17" s="108">
        <f>SQRT(BB17/BA17)</f>
        <v>1.4106202335498452</v>
      </c>
      <c r="BD17" s="110">
        <f>100*(1-H17)</f>
        <v>90</v>
      </c>
      <c r="BE17" s="102">
        <f>100-2*$BC$7</f>
        <v>90</v>
      </c>
      <c r="BF17" s="108" t="e">
        <f>$P$5*Z17+$Q$5*AA17</f>
        <v>#VALUE!</v>
      </c>
      <c r="BG17" s="108" t="e">
        <f>$Q$5*Z17+$P$5*AA17</f>
        <v>#VALUE!</v>
      </c>
      <c r="BH17" s="103">
        <f>AY17</f>
        <v>1.1819994188079788</v>
      </c>
      <c r="BI17" s="103">
        <f>EXP(LN(AY17)-TINV((100-BE17)/100,AZ17)*BX17)</f>
        <v>0.83792887036184149</v>
      </c>
      <c r="BJ17" s="103">
        <f>EXP(LN(AY17)+TINV((100-BE17)/100,AZ17)*BX17)</f>
        <v>1.6673522962146923</v>
      </c>
      <c r="BK17" s="103">
        <f>SQRT(BJ17/BI17)</f>
        <v>1.4106202335498452</v>
      </c>
      <c r="BL17" s="118" t="s">
        <v>204</v>
      </c>
      <c r="BM17" s="118" t="e">
        <f>IF(MIN(BN17,BT17)&gt;$BC$7,"unclear",IF(MAX(BN17,BQ17,BT17)=BN17,BP17&amp;" "&amp;BF$16,IF(MAX(BN17,BQ17,BT17)=BQ17,BS17&amp;" trivial",BV17&amp;" "&amp;BG$16)))</f>
        <v>#VALUE!</v>
      </c>
      <c r="BN17" s="98" t="e">
        <f>100*IF(LN(BF17)&gt;0,IF(LN(AY17)-LN(BF17)&gt;0,1-TDIST((LN(AY17)-LN(BF17))/BX17,AZ17,1),TDIST((LN(BF17)-LN(AY17))/BX17,AZ17,1)),IF(LN(AY17)-LN(BF17)&gt;0,TDIST((LN(AY17)-LN(BF17))/BX17,AZ17,1),1-TDIST((LN(BF17)-LN(AY17))/BX17,AZ17,1)))</f>
        <v>#VALUE!</v>
      </c>
      <c r="BO17" s="99" t="s">
        <v>166</v>
      </c>
      <c r="BP17" s="100" t="e">
        <f>IF(BN17&lt;$BA$7,$AZ$7,IF(BN17&lt;$BC$7,$BB$7,IF(BN17&lt;$BE$7,$BD$7,IF(BN17&lt;$BG$7,$BF$7,IF(BN17&lt;$BI$7,$BH$7,IF(BN17&lt;$BK$7,$BJ$7,$BL$7))))))</f>
        <v>#VALUE!</v>
      </c>
      <c r="BQ17" s="101" t="e">
        <f>100-BN17-BT17</f>
        <v>#VALUE!</v>
      </c>
      <c r="BR17" s="99" t="s">
        <v>166</v>
      </c>
      <c r="BS17" s="100" t="e">
        <f>IF(BQ17&lt;$BA$7,$AZ$7,IF(BQ17&lt;$BC$7,$BB$7,IF(BQ17&lt;$BE$7,$BD$7,IF(BQ17&lt;$BG$7,$BF$7,IF(BQ17&lt;$BI$7,$BH$7,IF(BQ17&lt;$BK$7,$BJ$7,$BL$7))))))</f>
        <v>#VALUE!</v>
      </c>
      <c r="BT17" s="98" t="e">
        <f>100*IF(LN(BG17)&gt;0,IF(LN(AY17)-LN(BG17)&gt;0,1-TDIST((LN(AY17)-LN(BG17))/BX17,AZ17,1),TDIST((LN(BG17)-LN(AY17))/BX17,AZ17,1)),IF(LN(AY17)-LN(BG17)&gt;0,TDIST((LN(AY17)-LN(BG17))/BX17,AZ17,1),1-TDIST((LN(BG17)-LN(AY17))/BX17,AZ17,1)))</f>
        <v>#VALUE!</v>
      </c>
      <c r="BU17" s="99" t="s">
        <v>166</v>
      </c>
      <c r="BV17" s="100" t="e">
        <f>IF(BT17&lt;$BA$7,$AZ$7,IF(BT17&lt;$BC$7,$BB$7,IF(BT17&lt;$BE$7,$BD$7,IF(BT17&lt;$BG$7,$BF$7,IF(BT17&lt;$BI$7,$BH$7,IF(BT17&lt;$BK$7,$BJ$7,$BL$7))))))</f>
        <v>#VALUE!</v>
      </c>
      <c r="BW17" s="115"/>
      <c r="BX17" s="105">
        <f>(LN(BB17)-LN(BA17))/2/TINV(1-BD17/100,AZ17)</f>
        <v>0.20896112528073832</v>
      </c>
      <c r="BY17" s="24" t="str">
        <f>U17</f>
        <v>AthleteID</v>
      </c>
      <c r="BZ17" s="111">
        <f>AK17</f>
        <v>0.49784020451466893</v>
      </c>
      <c r="CA17" s="109">
        <v>999</v>
      </c>
      <c r="CB17" s="111">
        <f>AL17</f>
        <v>-0.51155971700993319</v>
      </c>
      <c r="CC17" s="111">
        <f>AM17</f>
        <v>0.87023657624739603</v>
      </c>
      <c r="CD17" s="111">
        <f>(CC17-CB17)/2</f>
        <v>0.69089814662866456</v>
      </c>
      <c r="CE17" s="109">
        <f>100*(1-H17)</f>
        <v>90</v>
      </c>
      <c r="CF17" s="102">
        <f>100-2*$BC$7</f>
        <v>90</v>
      </c>
      <c r="CG17" s="233" t="e">
        <f>$P$5*AN17+$Q$5*AO17</f>
        <v>#VALUE!</v>
      </c>
      <c r="CH17" s="233" t="e">
        <f>$Q$5*AN17+$P$5*AO17</f>
        <v>#VALUE!</v>
      </c>
      <c r="CI17" s="117">
        <f>BZ17</f>
        <v>0.49784020451466893</v>
      </c>
      <c r="CJ17" s="117">
        <f>BZ17-TINV((100-CF17)/100,CA17)*CY17</f>
        <v>-0.19305794211399563</v>
      </c>
      <c r="CK17" s="117">
        <f>BZ17+TINV((100-CF17)/100,CA17)*CY17</f>
        <v>1.1887383511433334</v>
      </c>
      <c r="CL17" s="117">
        <f>(CK17-CJ17)/2</f>
        <v>0.69089814662866456</v>
      </c>
      <c r="CM17" s="118" t="s">
        <v>204</v>
      </c>
      <c r="CN17" s="118" t="e">
        <f>IF(MIN(CO17,CU17)&gt;$BC$7,"unclear",IF(MAX(CO17,CR17,CU17)=CO17,CQ17&amp;" "&amp;CG$16,IF(MAX(CO17,CR17,CU17)=CR17,CT17&amp;" trivial",CW17&amp;" "&amp;CH$16)))</f>
        <v>#VALUE!</v>
      </c>
      <c r="CO17" s="112" t="e">
        <f>100*IF(CG17&gt;0,IF(BZ17-CG17&gt;0,1-TDIST((BZ17-CG17)/CY17,CA17,1),TDIST((CG17-BZ17)/CY17,CA17,1)),IF(BZ17-CG17&gt;0,TDIST((BZ17-CG17)/CY17,CA17,1),1-TDIST((CG17-BZ17)/CY17,CA17,1)))</f>
        <v>#VALUE!</v>
      </c>
      <c r="CP17" s="113" t="s">
        <v>166</v>
      </c>
      <c r="CQ17" s="100" t="e">
        <f>IF(CO17&lt;$BA$7,$AZ$7,IF(CO17&lt;$BC$7,$BB$7,IF(CO17&lt;$BE$7,$BD$7,IF(CO17&lt;$BG$7,$BF$7,IF(CO17&lt;$BI$7,$BH$7,IF(CO17&lt;$BK$7,$BJ$7,$BL$7))))))</f>
        <v>#VALUE!</v>
      </c>
      <c r="CR17" s="114" t="e">
        <f>100-CO17-CU17</f>
        <v>#VALUE!</v>
      </c>
      <c r="CS17" s="113" t="s">
        <v>166</v>
      </c>
      <c r="CT17" s="100" t="e">
        <f>IF(CR17&lt;$BA$7,$AZ$7,IF(CR17&lt;$BC$7,$BB$7,IF(CR17&lt;$BE$7,$BD$7,IF(CR17&lt;$BG$7,$BF$7,IF(CR17&lt;$BI$7,$BH$7,IF(CR17&lt;$BK$7,$BJ$7,$BL$7))))))</f>
        <v>#VALUE!</v>
      </c>
      <c r="CU17" s="112" t="e">
        <f>100*IF(CH17&gt;0,IF(BZ17-CH17&gt;0,1-TDIST((BZ17-CH17)/CY17,CA17,1),TDIST((CH17-BZ17)/CY17,CA17,1)),IF(BZ17-CH17&gt;0,TDIST((BZ17-CH17)/CY17,CA17,1),1-TDIST((CH17-BZ17)/CY17,CA17,1)))</f>
        <v>#VALUE!</v>
      </c>
      <c r="CV17" s="113" t="s">
        <v>166</v>
      </c>
      <c r="CW17" s="100" t="e">
        <f>IF(CU17&lt;$BA$7,$AZ$7,IF(CU17&lt;$BC$7,$BB$7,IF(CU17&lt;$BE$7,$BD$7,IF(CU17&lt;$BG$7,$BF$7,IF(CU17&lt;$BI$7,$BH$7,IF(CU17&lt;$BK$7,$BJ$7,$BL$7))))))</f>
        <v>#VALUE!</v>
      </c>
      <c r="CX17" s="115"/>
      <c r="CY17" s="105">
        <f>(CC17-CB17)/2/TINV(1-CE17/100,CA17)</f>
        <v>0.41964674113579109</v>
      </c>
      <c r="CZ17" s="24" t="str">
        <f>U17</f>
        <v>AthleteID</v>
      </c>
      <c r="DA17" s="116">
        <f>AQ17</f>
        <v>1.4625283041929027</v>
      </c>
      <c r="DB17" s="109">
        <v>999</v>
      </c>
      <c r="DC17" s="116">
        <f>AR17</f>
        <v>-1.5022317426896503</v>
      </c>
      <c r="DD17" s="116">
        <f>AS17</f>
        <v>2.5195571553320772</v>
      </c>
      <c r="DE17" s="116">
        <f>(DD17-DC17)/2</f>
        <v>2.0108944490108636</v>
      </c>
      <c r="DF17" s="109">
        <f>100*(1-H17)</f>
        <v>90</v>
      </c>
      <c r="DG17" s="102">
        <f>100-2*$BC$7</f>
        <v>90</v>
      </c>
      <c r="DH17" s="241" t="e">
        <f>$P$5*AU17+$Q$5*AV17</f>
        <v>#VALUE!</v>
      </c>
      <c r="DI17" s="241" t="e">
        <f>$Q$5*AU17+$P$5*AV17</f>
        <v>#VALUE!</v>
      </c>
      <c r="DJ17" s="104">
        <f>DA17</f>
        <v>1.4625283041929027</v>
      </c>
      <c r="DK17" s="104">
        <f>10*(2*SQRT(EXP(LN(((1+DA17/10)/(1-DA17/10))^2)-TINV((100-DG17)/100,DB17)*DZ17))/(1+SQRT(EXP(LN(((1+DA17/10)/(1-DA17/10))^2)-TINV((100-DG17)/100,DB17)*DZ17)))-1)</f>
        <v>-0.57063121292916352</v>
      </c>
      <c r="DL17" s="104">
        <f>10*(2*SQRT(EXP(LN(((1+DA17/10)/(1-DA17/10))^2)+TINV((100-DG17)/100,DB17)*DZ17))/(1+SQRT(EXP(LN(((1+DA17/10)/(1-DA17/10))^2)+TINV((100-DG17)/100,DB17)*DZ17)))-1)</f>
        <v>3.3792092951309227</v>
      </c>
      <c r="DM17" s="104">
        <f>(DL17-DK17)/2</f>
        <v>1.9749202540300432</v>
      </c>
      <c r="DN17" s="118" t="s">
        <v>204</v>
      </c>
      <c r="DO17" s="118" t="e">
        <f>IF(MIN(DP17,DV17)&gt;$BC$7,"unclear",IF(MAX(DP17,DS17,DV17)=DP17,DR17&amp;" "&amp;DH$16,IF(MAX(DP17,DS17,DV17)=DS17,DU17&amp;" trivial",DX17&amp;" "&amp;DI$16)))</f>
        <v>#VALUE!</v>
      </c>
      <c r="DP17" s="112" t="e">
        <f>100*IF(LN(((1+DH17/10)/(1-DH17/10))^2)&gt;0,IF(LN(((1+DA17/10)/(1-DA17/10))^2)-LN(((1+DH17/10)/(1-DH17/10))^2)&gt;0,1-TDIST((LN(((1+DA17/10)/(1-DA17/10))^2)-LN(((1+DH17/10)/(1-DH17/10))^2))/DZ17,DB17,1),TDIST((LN(((1+DH17/10)/(1-DH17/10))^2)-LN(((1+DA17/10)/(1-DA17/10))^2))/DZ17,DB17,1)),IF(LN(((1+DA17/10)/(1-DA17/10))^2)-LN(((1+DH17/10)/(1-DH17/10))^2)&gt;0,TDIST((LN(((1+DA17/10)/(1-DA17/10))^2)-LN(((1+DH17/10)/(1-DH17/10))^2))/DZ17,DB17,1),1-TDIST((LN(((1+DH17/10)/(1-DH17/10))^2)-LN(((1+DA17/10)/(1-DA17/10))^2))/DZ17,DB17,1)))</f>
        <v>#VALUE!</v>
      </c>
      <c r="DQ17" s="113" t="s">
        <v>166</v>
      </c>
      <c r="DR17" s="100" t="e">
        <f>IF(DP17&lt;$BA$7,$AZ$7,IF(DP17&lt;$BC$7,$BB$7,IF(DP17&lt;$BE$7,$BD$7,IF(DP17&lt;$BG$7,$BF$7,IF(DP17&lt;$BI$7,$BH$7,IF(DP17&lt;$BK$7,$BJ$7,$BL$7))))))</f>
        <v>#VALUE!</v>
      </c>
      <c r="DS17" s="114" t="e">
        <f>100-DP17-DV17</f>
        <v>#VALUE!</v>
      </c>
      <c r="DT17" s="113" t="s">
        <v>166</v>
      </c>
      <c r="DU17" s="100" t="e">
        <f>IF(DS17&lt;$BA$7,$AZ$7,IF(DS17&lt;$BC$7,$BB$7,IF(DS17&lt;$BE$7,$BD$7,IF(DS17&lt;$BG$7,$BF$7,IF(DS17&lt;$BI$7,$BH$7,IF(DS17&lt;$BK$7,$BJ$7,$BL$7))))))</f>
        <v>#VALUE!</v>
      </c>
      <c r="DV17" s="112" t="e">
        <f>100*IF(LN(((1+DI17/10)/(1-DI17/10))^2)&gt;0,IF(LN(((1+DA17/10)/(1-DA17/10))^2)-LN(((1+DI17/10)/(1-DI17/10))^2)&gt;0,1-TDIST((LN(((1+DA17/10)/(1-DA17/10))^2)-LN(((1+DI17/10)/(1-DI17/10))^2))/DZ17,DB17,1),TDIST((LN(((1+DI17/10)/(1-DI17/10))^2)-LN(((1+DA17/10)/(1-DA17/10))^2))/DZ17,DB17,1)),IF(LN(((1+DA17/10)/(1-DA17/10))^2)-LN(((1+DI17/10)/(1-DI17/10))^2)&gt;0,TDIST((LN(((1+DA17/10)/(1-DA17/10))^2)-LN(((1+DI17/10)/(1-DI17/10))^2))/DZ17,DB17,1),1-TDIST((LN(((1+DI17/10)/(1-DI17/10))^2)-LN(((1+DA17/10)/(1-DA17/10))^2))/DZ17,DB17,1)))</f>
        <v>#VALUE!</v>
      </c>
      <c r="DW17" s="113" t="s">
        <v>166</v>
      </c>
      <c r="DX17" s="100" t="e">
        <f>IF(DV17&lt;$BA$7,$AZ$7,IF(DV17&lt;$BC$7,$BB$7,IF(DV17&lt;$BE$7,$BD$7,IF(DV17&lt;$BG$7,$BF$7,IF(DV17&lt;$BI$7,$BH$7,IF(DV17&lt;$BK$7,$BJ$7,$BL$7))))))</f>
        <v>#VALUE!</v>
      </c>
      <c r="DY17" s="115"/>
      <c r="DZ17" s="105">
        <f>(LN(((1+DD17/10)/(1-DD17/10))^2)-LN(((1+DC17/10)/(1-DC17/10))^2))/2/TINV(1-DF17/100,DB17)</f>
        <v>0.49668809053480462</v>
      </c>
    </row>
    <row r="18" spans="2:130" ht="14.4" x14ac:dyDescent="0.3">
      <c r="B18" s="3" t="str">
        <f>B12</f>
        <v>GameID</v>
      </c>
      <c r="C18" s="3"/>
      <c r="D18" s="4">
        <f>IFERROR(SQRT(D12),-SQRT(-D12))</f>
        <v>-0.17966635745180565</v>
      </c>
      <c r="E18" s="4">
        <f>IFERROR(SQRT(H12),-SQRT(-H12))</f>
        <v>-0.54387498563548586</v>
      </c>
      <c r="F18" s="4">
        <f>IFERROR(SQRT(I12),-SQRT(-I12))</f>
        <v>0.48083261120685228</v>
      </c>
      <c r="G18" s="4">
        <f>D12/E12</f>
        <v>-0.20149812734082398</v>
      </c>
      <c r="H18" s="4">
        <f>(100-MID($H$9,6,2))/100</f>
        <v>0.1</v>
      </c>
      <c r="L18" s="4">
        <f>EXP(D18)</f>
        <v>0.83554893958824217</v>
      </c>
      <c r="M18" s="4">
        <f t="shared" si="3"/>
        <v>0.58049448075339116</v>
      </c>
      <c r="N18" s="4">
        <f t="shared" si="3"/>
        <v>1.6174205241716233</v>
      </c>
      <c r="R18" s="4">
        <f>$L$28/SQRT(L18)/(1+$L$28/SQRT(L18))</f>
        <v>0.73534613471942911</v>
      </c>
      <c r="S18" s="4"/>
      <c r="U18" s="24" t="str">
        <f>B18</f>
        <v>GameID</v>
      </c>
      <c r="V18" s="48">
        <f t="shared" ref="V18" si="6">$L$28*SQRT(L18)/(1+$L$28*SQRT(L18))/($L$28/SQRT(L18)/(1+$L$28/SQRT(L18)))</f>
        <v>0.95049025432812728</v>
      </c>
      <c r="W18" s="48">
        <f>EXP(LN(V18)-_xlfn.T.INV.2T(H18,999)*ABS(LN(V18))/ABS(G18))</f>
        <v>0.62771820698912562</v>
      </c>
      <c r="X18" s="48">
        <f>EXP(LN(V18)+_xlfn.T.INV.2T(H18,999)*ABS(LN(V18))/ABS(G18))</f>
        <v>1.4392313517654567</v>
      </c>
      <c r="Y18" s="48">
        <f>SQRT(X18/W18)</f>
        <v>1.514198957024347</v>
      </c>
      <c r="Z18" s="4">
        <f>SQRT(0.9)</f>
        <v>0.94868329805051377</v>
      </c>
      <c r="AA18" s="4">
        <f>1/Z18</f>
        <v>1.0540925533894598</v>
      </c>
      <c r="AC18" s="4">
        <f t="shared" si="4"/>
        <v>-0.17966635745180565</v>
      </c>
      <c r="AD18" s="4">
        <f t="shared" si="4"/>
        <v>-0.54387498563548586</v>
      </c>
      <c r="AE18" s="4">
        <f t="shared" si="4"/>
        <v>0.48083261120685228</v>
      </c>
      <c r="AF18" s="4">
        <f>LN(Z18*$L$28/SQRT(L18)/(1+$L$28/SQRT(L18))/(1-Z18*$L$28/SQRT(L18)/(1+$L$28/SQRT(L18)))/($L$28/SQRT(L18)))</f>
        <v>-0.18597305741279724</v>
      </c>
      <c r="AG18" s="4">
        <f>LN(AA18*$L$28/SQRT(L18)/(1+$L$28/SQRT(L18))/(1-AA18*$L$28/SQRT(L18)/(1+$L$28/SQRT(L18)))/($L$28/SQRT(L18)))</f>
        <v>0.21554896281280575</v>
      </c>
      <c r="AH18" s="4"/>
      <c r="AI18" s="4">
        <f>SQRT($D$11+$D$13*(1/($H$4*R18)+1/($H$4*(1-R18))))</f>
        <v>1.2538155726350035</v>
      </c>
      <c r="AJ18" s="5"/>
      <c r="AK18" s="4">
        <f>AC18/AI18</f>
        <v>-0.14329568189540109</v>
      </c>
      <c r="AL18" s="4">
        <f>AD18/AI18</f>
        <v>-0.43377590572789332</v>
      </c>
      <c r="AM18" s="4">
        <f>AE18/AI18</f>
        <v>0.38349548506271963</v>
      </c>
      <c r="AN18" s="4">
        <v>-0.1</v>
      </c>
      <c r="AO18" s="4">
        <f>-AN18</f>
        <v>0.1</v>
      </c>
      <c r="AQ18" s="50">
        <f t="shared" si="5"/>
        <v>-0.44886407313284971</v>
      </c>
      <c r="AR18" s="50">
        <f t="shared" si="5"/>
        <v>-1.3513698931181017</v>
      </c>
      <c r="AS18" s="50">
        <f t="shared" si="5"/>
        <v>1.1963247737421212</v>
      </c>
      <c r="AT18" s="50">
        <f>(AS18-AR18)/2</f>
        <v>1.2738473334301115</v>
      </c>
      <c r="AU18" s="10">
        <f>$AQ$10</f>
        <v>-0.5</v>
      </c>
      <c r="AV18" s="10">
        <f>$AQ$11</f>
        <v>0.5</v>
      </c>
      <c r="AW18" s="6" t="str">
        <f>U18</f>
        <v>GameID</v>
      </c>
      <c r="AY18" s="108">
        <f>V18</f>
        <v>0.95049025432812728</v>
      </c>
      <c r="AZ18" s="109">
        <v>999</v>
      </c>
      <c r="BA18" s="108">
        <f>W18</f>
        <v>0.62771820698912562</v>
      </c>
      <c r="BB18" s="108">
        <f>X18</f>
        <v>1.4392313517654567</v>
      </c>
      <c r="BC18" s="108">
        <f>SQRT(BB18/BA18)</f>
        <v>1.514198957024347</v>
      </c>
      <c r="BD18" s="110">
        <f>100*(1-H18)</f>
        <v>90</v>
      </c>
      <c r="BE18" s="102">
        <f>100-2*$BC$7</f>
        <v>90</v>
      </c>
      <c r="BF18" s="108" t="e">
        <f>$P$5*Z18+$Q$5*AA18</f>
        <v>#VALUE!</v>
      </c>
      <c r="BG18" s="108" t="e">
        <f>$Q$5*Z18+$P$5*AA18</f>
        <v>#VALUE!</v>
      </c>
      <c r="BH18" s="103">
        <f>AY18</f>
        <v>0.95049025432812728</v>
      </c>
      <c r="BI18" s="103">
        <f>EXP(LN(AY18)-TINV((100-BE18)/100,AZ18)*BX18)</f>
        <v>0.62771820698912562</v>
      </c>
      <c r="BJ18" s="103">
        <f>EXP(LN(AY18)+TINV((100-BE18)/100,AZ18)*BX18)</f>
        <v>1.4392313517654567</v>
      </c>
      <c r="BK18" s="103">
        <f>SQRT(BJ18/BI18)</f>
        <v>1.514198957024347</v>
      </c>
      <c r="BL18" s="118" t="str">
        <f>BL17</f>
        <v>not relevant for SDs</v>
      </c>
      <c r="BM18" s="118" t="e">
        <f>IF(MIN(BN18,BT18)&gt;$BC$7,"unclear",IF(MAX(BN18,BQ18,BT18)=BN18,BP18&amp;" "&amp;BF$16,IF(MAX(BN18,BQ18,BT18)=BQ18,BS18&amp;" trivial",BV18&amp;" "&amp;BG$16)))</f>
        <v>#VALUE!</v>
      </c>
      <c r="BN18" s="98" t="e">
        <f>100*IF(LN(BF18)&gt;0,IF(LN(AY18)-LN(BF18)&gt;0,1-TDIST((LN(AY18)-LN(BF18))/BX18,AZ18,1),TDIST((LN(BF18)-LN(AY18))/BX18,AZ18,1)),IF(LN(AY18)-LN(BF18)&gt;0,TDIST((LN(AY18)-LN(BF18))/BX18,AZ18,1),1-TDIST((LN(BF18)-LN(AY18))/BX18,AZ18,1)))</f>
        <v>#VALUE!</v>
      </c>
      <c r="BO18" s="99" t="s">
        <v>166</v>
      </c>
      <c r="BP18" s="100" t="e">
        <f>IF(BN18&lt;$BA$7,$AZ$7,IF(BN18&lt;$BC$7,$BB$7,IF(BN18&lt;$BE$7,$BD$7,IF(BN18&lt;$BG$7,$BF$7,IF(BN18&lt;$BI$7,$BH$7,IF(BN18&lt;$BK$7,$BJ$7,$BL$7))))))</f>
        <v>#VALUE!</v>
      </c>
      <c r="BQ18" s="101" t="e">
        <f>100-BN18-BT18</f>
        <v>#VALUE!</v>
      </c>
      <c r="BR18" s="99" t="s">
        <v>166</v>
      </c>
      <c r="BS18" s="100" t="e">
        <f>IF(BQ18&lt;$BA$7,$AZ$7,IF(BQ18&lt;$BC$7,$BB$7,IF(BQ18&lt;$BE$7,$BD$7,IF(BQ18&lt;$BG$7,$BF$7,IF(BQ18&lt;$BI$7,$BH$7,IF(BQ18&lt;$BK$7,$BJ$7,$BL$7))))))</f>
        <v>#VALUE!</v>
      </c>
      <c r="BT18" s="98" t="e">
        <f>100*IF(LN(BG18)&gt;0,IF(LN(AY18)-LN(BG18)&gt;0,1-TDIST((LN(AY18)-LN(BG18))/BX18,AZ18,1),TDIST((LN(BG18)-LN(AY18))/BX18,AZ18,1)),IF(LN(AY18)-LN(BG18)&gt;0,TDIST((LN(AY18)-LN(BG18))/BX18,AZ18,1),1-TDIST((LN(BG18)-LN(AY18))/BX18,AZ18,1)))</f>
        <v>#VALUE!</v>
      </c>
      <c r="BU18" s="99" t="s">
        <v>166</v>
      </c>
      <c r="BV18" s="100" t="e">
        <f>IF(BT18&lt;$BA$7,$AZ$7,IF(BT18&lt;$BC$7,$BB$7,IF(BT18&lt;$BE$7,$BD$7,IF(BT18&lt;$BG$7,$BF$7,IF(BT18&lt;$BI$7,$BH$7,IF(BT18&lt;$BK$7,$BJ$7,$BL$7))))))</f>
        <v>#VALUE!</v>
      </c>
      <c r="BW18" s="115"/>
      <c r="BX18" s="105">
        <f>(LN(BB18)-LN(BA18))/2/TINV(1-BD18/100,AZ18)</f>
        <v>0.25199921697474442</v>
      </c>
      <c r="BY18" s="24" t="str">
        <f>U18</f>
        <v>GameID</v>
      </c>
      <c r="BZ18" s="111">
        <f>AK18</f>
        <v>-0.14329568189540109</v>
      </c>
      <c r="CA18" s="109">
        <v>999</v>
      </c>
      <c r="CB18" s="111">
        <f>AL18</f>
        <v>-0.43377590572789332</v>
      </c>
      <c r="CC18" s="111">
        <f>AM18</f>
        <v>0.38349548506271963</v>
      </c>
      <c r="CD18" s="111">
        <f>(CC18-CB18)/2</f>
        <v>0.40863569539530648</v>
      </c>
      <c r="CE18" s="109">
        <f>100*(1-H18)</f>
        <v>90</v>
      </c>
      <c r="CF18" s="102">
        <f>100-2*$BC$7</f>
        <v>90</v>
      </c>
      <c r="CG18" s="233" t="e">
        <f>$P$5*AN18+$Q$5*AO18</f>
        <v>#VALUE!</v>
      </c>
      <c r="CH18" s="233" t="e">
        <f>$Q$5*AN18+$P$5*AO18</f>
        <v>#VALUE!</v>
      </c>
      <c r="CI18" s="117">
        <f>BZ18</f>
        <v>-0.14329568189540109</v>
      </c>
      <c r="CJ18" s="117">
        <f>BZ18-TINV((100-CF18)/100,CA18)*CY18</f>
        <v>-0.55193137729070751</v>
      </c>
      <c r="CK18" s="117">
        <f>BZ18+TINV((100-CF18)/100,CA18)*CY18</f>
        <v>0.26534001349990538</v>
      </c>
      <c r="CL18" s="117">
        <f>(CK18-CJ18)/2</f>
        <v>0.40863569539530642</v>
      </c>
      <c r="CM18" s="118" t="str">
        <f>CM17</f>
        <v>not relevant for SDs</v>
      </c>
      <c r="CN18" s="118" t="e">
        <f>IF(MIN(CO18,CU18)&gt;$BC$7,"unclear",IF(MAX(CO18,CR18,CU18)=CO18,CQ18&amp;" "&amp;CG$16,IF(MAX(CO18,CR18,CU18)=CR18,CT18&amp;" trivial",CW18&amp;" "&amp;CH$16)))</f>
        <v>#VALUE!</v>
      </c>
      <c r="CO18" s="112" t="e">
        <f>100*IF(CG18&gt;0,IF(BZ18-CG18&gt;0,1-TDIST((BZ18-CG18)/CY18,CA18,1),TDIST((CG18-BZ18)/CY18,CA18,1)),IF(BZ18-CG18&gt;0,TDIST((BZ18-CG18)/CY18,CA18,1),1-TDIST((CG18-BZ18)/CY18,CA18,1)))</f>
        <v>#VALUE!</v>
      </c>
      <c r="CP18" s="113" t="s">
        <v>166</v>
      </c>
      <c r="CQ18" s="100" t="e">
        <f>IF(CO18&lt;$BA$7,$AZ$7,IF(CO18&lt;$BC$7,$BB$7,IF(CO18&lt;$BE$7,$BD$7,IF(CO18&lt;$BG$7,$BF$7,IF(CO18&lt;$BI$7,$BH$7,IF(CO18&lt;$BK$7,$BJ$7,$BL$7))))))</f>
        <v>#VALUE!</v>
      </c>
      <c r="CR18" s="114" t="e">
        <f>100-CO18-CU18</f>
        <v>#VALUE!</v>
      </c>
      <c r="CS18" s="113" t="s">
        <v>166</v>
      </c>
      <c r="CT18" s="100" t="e">
        <f>IF(CR18&lt;$BA$7,$AZ$7,IF(CR18&lt;$BC$7,$BB$7,IF(CR18&lt;$BE$7,$BD$7,IF(CR18&lt;$BG$7,$BF$7,IF(CR18&lt;$BI$7,$BH$7,IF(CR18&lt;$BK$7,$BJ$7,$BL$7))))))</f>
        <v>#VALUE!</v>
      </c>
      <c r="CU18" s="112" t="e">
        <f>100*IF(CH18&gt;0,IF(BZ18-CH18&gt;0,1-TDIST((BZ18-CH18)/CY18,CA18,1),TDIST((CH18-BZ18)/CY18,CA18,1)),IF(BZ18-CH18&gt;0,TDIST((BZ18-CH18)/CY18,CA18,1),1-TDIST((CH18-BZ18)/CY18,CA18,1)))</f>
        <v>#VALUE!</v>
      </c>
      <c r="CV18" s="113" t="s">
        <v>166</v>
      </c>
      <c r="CW18" s="100" t="e">
        <f>IF(CU18&lt;$BA$7,$AZ$7,IF(CU18&lt;$BC$7,$BB$7,IF(CU18&lt;$BE$7,$BD$7,IF(CU18&lt;$BG$7,$BF$7,IF(CU18&lt;$BI$7,$BH$7,IF(CU18&lt;$BK$7,$BJ$7,$BL$7))))))</f>
        <v>#VALUE!</v>
      </c>
      <c r="CX18" s="115"/>
      <c r="CY18" s="105">
        <f>(CC18-CB18)/2/TINV(1-CE18/100,CA18)</f>
        <v>0.24820248646080756</v>
      </c>
      <c r="CZ18" s="24" t="str">
        <f>U18</f>
        <v>GameID</v>
      </c>
      <c r="DA18" s="116">
        <f>AQ18</f>
        <v>-0.44886407313284971</v>
      </c>
      <c r="DB18" s="109">
        <v>999</v>
      </c>
      <c r="DC18" s="116">
        <f>AR18</f>
        <v>-1.3513698931181017</v>
      </c>
      <c r="DD18" s="116">
        <f>AS18</f>
        <v>1.1963247737421212</v>
      </c>
      <c r="DE18" s="116">
        <f>(DD18-DC18)/2</f>
        <v>1.2738473334301115</v>
      </c>
      <c r="DF18" s="109">
        <f>100*(1-H18)</f>
        <v>90</v>
      </c>
      <c r="DG18" s="102">
        <f>100-2*$BC$7</f>
        <v>90</v>
      </c>
      <c r="DH18" s="241" t="e">
        <f>$P$5*AU18+$Q$5*AV18</f>
        <v>#VALUE!</v>
      </c>
      <c r="DI18" s="241" t="e">
        <f>$Q$5*AU18+$P$5*AV18</f>
        <v>#VALUE!</v>
      </c>
      <c r="DJ18" s="104">
        <f>DA18</f>
        <v>-0.44886407313284971</v>
      </c>
      <c r="DK18" s="104">
        <f>10*(2*SQRT(EXP(LN(((1+DA18/10)/(1-DA18/10))^2)-TINV((100-DG18)/100,DB18)*DZ18))/(1+SQRT(EXP(LN(((1+DA18/10)/(1-DA18/10))^2)-TINV((100-DG18)/100,DB18)*DZ18)))-1)</f>
        <v>-1.7129939999633637</v>
      </c>
      <c r="DL18" s="104">
        <f>10*(2*SQRT(EXP(LN(((1+DA18/10)/(1-DA18/10))^2)+TINV((100-DG18)/100,DB18)*DZ18))/(1+SQRT(EXP(LN(((1+DA18/10)/(1-DA18/10))^2)+TINV((100-DG18)/100,DB18)*DZ18)))-1)</f>
        <v>0.82980607361047731</v>
      </c>
      <c r="DM18" s="104">
        <f>(DL18-DK18)/2</f>
        <v>1.2714000367869205</v>
      </c>
      <c r="DN18" s="118" t="str">
        <f>DN17</f>
        <v>not relevant for SDs</v>
      </c>
      <c r="DO18" s="118" t="e">
        <f>IF(MIN(DP18,DV18)&gt;$BC$7,"unclear",IF(MAX(DP18,DS18,DV18)=DP18,DR18&amp;" "&amp;DH$16,IF(MAX(DP18,DS18,DV18)=DS18,DU18&amp;" trivial",DX18&amp;" "&amp;DI$16)))</f>
        <v>#VALUE!</v>
      </c>
      <c r="DP18" s="112" t="e">
        <f>100*IF(LN(((1+DH18/10)/(1-DH18/10))^2)&gt;0,IF(LN(((1+DA18/10)/(1-DA18/10))^2)-LN(((1+DH18/10)/(1-DH18/10))^2)&gt;0,1-TDIST((LN(((1+DA18/10)/(1-DA18/10))^2)-LN(((1+DH18/10)/(1-DH18/10))^2))/DZ18,DB18,1),TDIST((LN(((1+DH18/10)/(1-DH18/10))^2)-LN(((1+DA18/10)/(1-DA18/10))^2))/DZ18,DB18,1)),IF(LN(((1+DA18/10)/(1-DA18/10))^2)-LN(((1+DH18/10)/(1-DH18/10))^2)&gt;0,TDIST((LN(((1+DA18/10)/(1-DA18/10))^2)-LN(((1+DH18/10)/(1-DH18/10))^2))/DZ18,DB18,1),1-TDIST((LN(((1+DH18/10)/(1-DH18/10))^2)-LN(((1+DA18/10)/(1-DA18/10))^2))/DZ18,DB18,1)))</f>
        <v>#VALUE!</v>
      </c>
      <c r="DQ18" s="113" t="s">
        <v>166</v>
      </c>
      <c r="DR18" s="100" t="e">
        <f>IF(DP18&lt;$BA$7,$AZ$7,IF(DP18&lt;$BC$7,$BB$7,IF(DP18&lt;$BE$7,$BD$7,IF(DP18&lt;$BG$7,$BF$7,IF(DP18&lt;$BI$7,$BH$7,IF(DP18&lt;$BK$7,$BJ$7,$BL$7))))))</f>
        <v>#VALUE!</v>
      </c>
      <c r="DS18" s="114" t="e">
        <f>100-DP18-DV18</f>
        <v>#VALUE!</v>
      </c>
      <c r="DT18" s="113" t="s">
        <v>166</v>
      </c>
      <c r="DU18" s="100" t="e">
        <f>IF(DS18&lt;$BA$7,$AZ$7,IF(DS18&lt;$BC$7,$BB$7,IF(DS18&lt;$BE$7,$BD$7,IF(DS18&lt;$BG$7,$BF$7,IF(DS18&lt;$BI$7,$BH$7,IF(DS18&lt;$BK$7,$BJ$7,$BL$7))))))</f>
        <v>#VALUE!</v>
      </c>
      <c r="DV18" s="112" t="e">
        <f>100*IF(LN(((1+DI18/10)/(1-DI18/10))^2)&gt;0,IF(LN(((1+DA18/10)/(1-DA18/10))^2)-LN(((1+DI18/10)/(1-DI18/10))^2)&gt;0,1-TDIST((LN(((1+DA18/10)/(1-DA18/10))^2)-LN(((1+DI18/10)/(1-DI18/10))^2))/DZ18,DB18,1),TDIST((LN(((1+DI18/10)/(1-DI18/10))^2)-LN(((1+DA18/10)/(1-DA18/10))^2))/DZ18,DB18,1)),IF(LN(((1+DA18/10)/(1-DA18/10))^2)-LN(((1+DI18/10)/(1-DI18/10))^2)&gt;0,TDIST((LN(((1+DA18/10)/(1-DA18/10))^2)-LN(((1+DI18/10)/(1-DI18/10))^2))/DZ18,DB18,1),1-TDIST((LN(((1+DI18/10)/(1-DI18/10))^2)-LN(((1+DA18/10)/(1-DA18/10))^2))/DZ18,DB18,1)))</f>
        <v>#VALUE!</v>
      </c>
      <c r="DW18" s="113" t="s">
        <v>166</v>
      </c>
      <c r="DX18" s="100" t="e">
        <f>IF(DV18&lt;$BA$7,$AZ$7,IF(DV18&lt;$BC$7,$BB$7,IF(DV18&lt;$BE$7,$BD$7,IF(DV18&lt;$BG$7,$BF$7,IF(DV18&lt;$BI$7,$BH$7,IF(DV18&lt;$BK$7,$BJ$7,$BL$7))))))</f>
        <v>#VALUE!</v>
      </c>
      <c r="DY18" s="115"/>
      <c r="DZ18" s="105">
        <f>(LN(((1+DD18/10)/(1-DD18/10))^2)-LN(((1+DC18/10)/(1-DC18/10))^2))/2/TINV(1-DF18/100,DB18)</f>
        <v>0.31120014269128898</v>
      </c>
    </row>
    <row r="19" spans="2:130" ht="14.4" x14ac:dyDescent="0.3">
      <c r="B19" s="122" t="s">
        <v>250</v>
      </c>
      <c r="W19" s="48"/>
      <c r="X19" s="48"/>
      <c r="Y19" s="48"/>
      <c r="AC19" s="5"/>
      <c r="AD19" s="5"/>
      <c r="AE19" s="5"/>
      <c r="AF19" s="5"/>
      <c r="AG19" s="5"/>
      <c r="AH19" s="5"/>
      <c r="AI19" s="5"/>
      <c r="AJ19" s="5"/>
      <c r="AK19" s="5"/>
      <c r="AL19" s="5"/>
      <c r="AM19" s="5"/>
      <c r="AN19" s="5"/>
      <c r="AO19" s="5"/>
      <c r="BH19" s="5" t="s">
        <v>221</v>
      </c>
      <c r="CI19" s="5" t="s">
        <v>219</v>
      </c>
      <c r="DJ19" s="144" t="s">
        <v>264</v>
      </c>
    </row>
    <row r="20" spans="2:130" ht="14.4" x14ac:dyDescent="0.3">
      <c r="W20" s="48"/>
      <c r="X20" s="48"/>
      <c r="Y20" s="48"/>
      <c r="AC20" s="5"/>
      <c r="AD20" s="5"/>
      <c r="AE20" s="5"/>
      <c r="AF20" s="5"/>
      <c r="AG20" s="5"/>
      <c r="AH20" s="5"/>
      <c r="AI20" s="5"/>
      <c r="AJ20" s="5"/>
      <c r="AK20" s="5"/>
      <c r="AL20" s="5"/>
      <c r="AM20" s="5"/>
      <c r="AN20" s="5"/>
      <c r="AO20" s="5"/>
      <c r="BH20" s="5" t="s">
        <v>220</v>
      </c>
      <c r="CI20" s="5" t="s">
        <v>220</v>
      </c>
      <c r="DJ20" s="5" t="s">
        <v>220</v>
      </c>
    </row>
    <row r="21" spans="2:130" ht="14.4" x14ac:dyDescent="0.3">
      <c r="AC21" s="5"/>
      <c r="AD21" s="5"/>
      <c r="AE21" s="5"/>
      <c r="AF21" s="5"/>
      <c r="AG21" s="5"/>
      <c r="AH21" s="5"/>
      <c r="AI21" s="5"/>
      <c r="AJ21" s="5"/>
      <c r="AK21" s="5"/>
      <c r="AL21" s="5"/>
      <c r="AM21" s="5"/>
      <c r="AN21" s="5"/>
      <c r="AO21" s="5"/>
      <c r="CG21" s="139"/>
      <c r="CH21" s="139"/>
      <c r="DH21" s="139"/>
      <c r="DI21" s="139"/>
    </row>
    <row r="22" spans="2:130" ht="14.4" x14ac:dyDescent="0.3">
      <c r="W22" s="48"/>
      <c r="X22" s="48"/>
      <c r="Y22" s="48"/>
      <c r="AC22" s="5"/>
      <c r="AD22" s="5"/>
      <c r="AE22" s="5"/>
      <c r="AF22" s="5"/>
      <c r="AG22" s="5"/>
      <c r="AH22" s="5"/>
      <c r="AI22" s="5"/>
      <c r="AJ22" s="5"/>
      <c r="AK22" s="5"/>
      <c r="AL22" s="5"/>
      <c r="AM22" s="5"/>
      <c r="AN22" s="5"/>
      <c r="AO22" s="5"/>
      <c r="CG22" s="139"/>
      <c r="CH22" s="139"/>
      <c r="DH22" s="139"/>
      <c r="DI22" s="139"/>
    </row>
    <row r="23" spans="2:130" ht="14.4" x14ac:dyDescent="0.3">
      <c r="AC23" s="5"/>
      <c r="AD23" s="5"/>
      <c r="AE23" s="5"/>
      <c r="AF23" s="5"/>
      <c r="AG23" s="5"/>
      <c r="AH23" s="5"/>
      <c r="AI23" s="5"/>
      <c r="AJ23" s="5"/>
      <c r="AK23" s="5"/>
      <c r="AL23" s="5"/>
      <c r="AM23" s="5"/>
      <c r="AN23" s="5"/>
      <c r="AO23" s="5"/>
      <c r="CG23" s="139"/>
      <c r="CH23" s="139"/>
      <c r="DH23" s="139"/>
      <c r="DI23" s="139"/>
    </row>
    <row r="24" spans="2:130" ht="14.4" customHeight="1" x14ac:dyDescent="0.3">
      <c r="L24" s="5" t="s">
        <v>142</v>
      </c>
      <c r="Q24" s="18"/>
      <c r="U24" s="6" t="s">
        <v>133</v>
      </c>
      <c r="AC24" s="5"/>
      <c r="AD24" s="5"/>
      <c r="AE24" s="5"/>
      <c r="AF24" s="5"/>
      <c r="AG24" s="5"/>
      <c r="AH24" s="5"/>
      <c r="AJ24" s="204" t="s">
        <v>114</v>
      </c>
      <c r="AK24" s="139"/>
      <c r="AL24" s="139"/>
      <c r="AM24" s="139"/>
      <c r="AN24" s="144"/>
      <c r="AO24" s="144"/>
      <c r="AS24" s="7" t="s">
        <v>183</v>
      </c>
      <c r="CG24" s="139"/>
      <c r="CH24" s="139"/>
      <c r="DH24" s="139"/>
      <c r="DI24" s="139"/>
    </row>
    <row r="25" spans="2:130" ht="14.4" customHeight="1" x14ac:dyDescent="0.3">
      <c r="C25" s="265" t="s">
        <v>38</v>
      </c>
      <c r="D25" s="265"/>
      <c r="E25" s="265"/>
      <c r="F25" s="265"/>
      <c r="G25" s="265"/>
      <c r="H25" s="265"/>
      <c r="I25" s="265"/>
      <c r="J25" s="265"/>
      <c r="K25" s="265"/>
      <c r="L25" s="265"/>
      <c r="M25" s="265"/>
      <c r="N25" s="265"/>
      <c r="T25" s="47"/>
      <c r="U25" s="47"/>
      <c r="V25" s="54" t="s">
        <v>14</v>
      </c>
      <c r="W25" s="54" t="s">
        <v>62</v>
      </c>
      <c r="X25" s="54" t="s">
        <v>15</v>
      </c>
      <c r="Y25" s="54" t="s">
        <v>110</v>
      </c>
      <c r="Z25" s="54" t="s">
        <v>111</v>
      </c>
      <c r="AC25" s="5"/>
      <c r="AD25" s="5"/>
      <c r="AE25" s="5"/>
      <c r="AF25" s="5"/>
      <c r="AG25" s="5"/>
      <c r="AH25" s="5"/>
      <c r="AI25" s="47"/>
      <c r="AJ25" s="47"/>
      <c r="AK25" s="54" t="s">
        <v>14</v>
      </c>
      <c r="AL25" s="54" t="s">
        <v>62</v>
      </c>
      <c r="AM25" s="54" t="s">
        <v>15</v>
      </c>
      <c r="AN25" s="54" t="s">
        <v>110</v>
      </c>
      <c r="AO25" s="54" t="s">
        <v>111</v>
      </c>
      <c r="AQ25" s="54" t="s">
        <v>14</v>
      </c>
      <c r="AR25" s="54" t="s">
        <v>62</v>
      </c>
      <c r="AS25" s="54" t="s">
        <v>15</v>
      </c>
      <c r="AT25" s="54" t="s">
        <v>110</v>
      </c>
      <c r="AU25" s="54" t="s">
        <v>111</v>
      </c>
      <c r="CG25" s="139"/>
      <c r="CH25" s="139"/>
      <c r="DH25" s="139"/>
      <c r="DI25" s="139"/>
    </row>
    <row r="26" spans="2:130" ht="14.4" customHeight="1" x14ac:dyDescent="0.3">
      <c r="C26" s="265" t="s">
        <v>39</v>
      </c>
      <c r="D26" s="265" t="s">
        <v>2</v>
      </c>
      <c r="E26" s="75" t="s">
        <v>3</v>
      </c>
      <c r="F26" s="265" t="s">
        <v>19</v>
      </c>
      <c r="G26" s="265" t="s">
        <v>20</v>
      </c>
      <c r="H26" s="265" t="s">
        <v>21</v>
      </c>
      <c r="I26" s="265" t="s">
        <v>22</v>
      </c>
      <c r="J26" s="265" t="s">
        <v>12</v>
      </c>
      <c r="K26" s="265" t="s">
        <v>13</v>
      </c>
      <c r="L26" s="73" t="s">
        <v>40</v>
      </c>
      <c r="M26" s="73" t="s">
        <v>40</v>
      </c>
      <c r="N26" s="73" t="s">
        <v>40</v>
      </c>
      <c r="Q26" s="17" t="s">
        <v>72</v>
      </c>
      <c r="U26" s="24" t="s">
        <v>108</v>
      </c>
      <c r="V26" s="8">
        <v>0.9</v>
      </c>
      <c r="W26" s="8">
        <v>0.7</v>
      </c>
      <c r="X26" s="8">
        <v>0.5</v>
      </c>
      <c r="Y26" s="8">
        <v>0.3</v>
      </c>
      <c r="Z26" s="8">
        <v>0.1</v>
      </c>
      <c r="AC26" s="5"/>
      <c r="AD26" s="5"/>
      <c r="AE26" s="5"/>
      <c r="AF26" s="5"/>
      <c r="AG26" s="5"/>
      <c r="AH26" s="5"/>
      <c r="AJ26" s="24" t="s">
        <v>108</v>
      </c>
      <c r="AK26" s="4">
        <f>-AK27</f>
        <v>-0.2</v>
      </c>
      <c r="AL26" s="4">
        <f t="shared" ref="AL26:AO26" si="7">-AL27</f>
        <v>-0.6</v>
      </c>
      <c r="AM26" s="143">
        <f t="shared" si="7"/>
        <v>-1.2</v>
      </c>
      <c r="AN26" s="10">
        <f t="shared" si="7"/>
        <v>-2</v>
      </c>
      <c r="AO26" s="10">
        <f t="shared" si="7"/>
        <v>-4</v>
      </c>
      <c r="AQ26" s="10">
        <f>-AQ27</f>
        <v>-1</v>
      </c>
      <c r="AR26" s="10">
        <f t="shared" ref="AR26:AU26" si="8">-AR27</f>
        <v>-3</v>
      </c>
      <c r="AS26" s="10">
        <f t="shared" si="8"/>
        <v>-5</v>
      </c>
      <c r="AT26" s="10">
        <f t="shared" si="8"/>
        <v>-7</v>
      </c>
      <c r="AU26" s="10">
        <f t="shared" si="8"/>
        <v>-9</v>
      </c>
      <c r="AV26" s="71" t="s">
        <v>108</v>
      </c>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CG26" s="139"/>
      <c r="CH26" s="139"/>
      <c r="DH26" s="139"/>
      <c r="DI26" s="139"/>
    </row>
    <row r="27" spans="2:130" ht="14.4" customHeight="1" x14ac:dyDescent="0.3">
      <c r="C27" s="265"/>
      <c r="D27" s="265"/>
      <c r="E27" s="75" t="s">
        <v>4</v>
      </c>
      <c r="F27" s="265"/>
      <c r="G27" s="265"/>
      <c r="H27" s="265"/>
      <c r="I27" s="265"/>
      <c r="J27" s="265"/>
      <c r="K27" s="265"/>
      <c r="L27" s="75" t="s">
        <v>2</v>
      </c>
      <c r="M27" s="75" t="s">
        <v>12</v>
      </c>
      <c r="N27" s="75" t="s">
        <v>13</v>
      </c>
      <c r="P27" s="47"/>
      <c r="Q27" s="124"/>
      <c r="R27" s="125" t="s">
        <v>2</v>
      </c>
      <c r="S27" s="3"/>
      <c r="U27" s="24" t="s">
        <v>109</v>
      </c>
      <c r="V27" s="4">
        <f>1/V26</f>
        <v>1.1111111111111112</v>
      </c>
      <c r="W27" s="4">
        <f t="shared" ref="W27:X27" si="9">1/W26</f>
        <v>1.4285714285714286</v>
      </c>
      <c r="X27" s="10">
        <f t="shared" si="9"/>
        <v>2</v>
      </c>
      <c r="Y27" s="10">
        <f>1/Y26</f>
        <v>3.3333333333333335</v>
      </c>
      <c r="Z27" s="11">
        <f>1/Z26</f>
        <v>10</v>
      </c>
      <c r="AC27" s="5"/>
      <c r="AD27" s="5"/>
      <c r="AE27" s="5"/>
      <c r="AF27" s="5"/>
      <c r="AG27" s="5"/>
      <c r="AH27" s="5"/>
      <c r="AJ27" s="24" t="s">
        <v>109</v>
      </c>
      <c r="AK27" s="4">
        <v>0.2</v>
      </c>
      <c r="AL27" s="4">
        <v>0.6</v>
      </c>
      <c r="AM27" s="143">
        <v>1.2</v>
      </c>
      <c r="AN27" s="10">
        <v>2</v>
      </c>
      <c r="AO27" s="10">
        <v>4</v>
      </c>
      <c r="AQ27" s="10">
        <v>1</v>
      </c>
      <c r="AR27" s="10">
        <v>3</v>
      </c>
      <c r="AS27" s="10">
        <v>5</v>
      </c>
      <c r="AT27" s="10">
        <v>7</v>
      </c>
      <c r="AU27" s="10">
        <v>9</v>
      </c>
      <c r="AV27" s="71" t="s">
        <v>109</v>
      </c>
      <c r="CG27" s="139"/>
      <c r="CH27" s="139"/>
      <c r="DH27" s="139"/>
      <c r="DI27" s="139"/>
    </row>
    <row r="28" spans="2:130" ht="14.4" customHeight="1" x14ac:dyDescent="0.3">
      <c r="C28" s="44" t="s">
        <v>58</v>
      </c>
      <c r="D28" s="1">
        <v>0.93210000000000004</v>
      </c>
      <c r="E28" s="1">
        <v>0.26750000000000002</v>
      </c>
      <c r="F28" s="1">
        <v>4</v>
      </c>
      <c r="G28" s="1">
        <v>3.48</v>
      </c>
      <c r="H28" s="1">
        <v>2.52E-2</v>
      </c>
      <c r="I28" s="1">
        <v>0.1</v>
      </c>
      <c r="J28" s="1">
        <v>0.36180000000000001</v>
      </c>
      <c r="K28" s="1">
        <v>1.5023</v>
      </c>
      <c r="L28" s="41">
        <v>2.5398000000000001</v>
      </c>
      <c r="M28" s="1">
        <v>1.4359999999999999</v>
      </c>
      <c r="N28" s="1">
        <v>4.4920999999999998</v>
      </c>
      <c r="P28" s="5"/>
      <c r="Q28" s="26" t="str">
        <f>C28</f>
        <v>Mean</v>
      </c>
      <c r="R28" s="52">
        <f>L28/(1+L28)</f>
        <v>0.7174981637380643</v>
      </c>
      <c r="S28" s="52"/>
      <c r="T28" s="52"/>
      <c r="U28" s="32"/>
      <c r="AC28" s="5"/>
      <c r="AD28" s="5"/>
      <c r="AE28" s="5"/>
      <c r="AF28" s="4"/>
      <c r="AG28" s="5"/>
      <c r="AH28" s="5"/>
      <c r="AI28" s="5"/>
      <c r="AJ28" s="5"/>
      <c r="AK28" s="5"/>
      <c r="AL28" s="5"/>
      <c r="AM28" s="5"/>
      <c r="AN28" s="5"/>
      <c r="AO28" s="5"/>
      <c r="CG28" s="139"/>
      <c r="CH28" s="139"/>
      <c r="DH28" s="139"/>
      <c r="DI28" s="139"/>
    </row>
    <row r="29" spans="2:130" ht="15.65" customHeight="1" x14ac:dyDescent="0.3">
      <c r="C29" s="44"/>
      <c r="D29" s="1">
        <v>0</v>
      </c>
      <c r="E29" s="30" t="s">
        <v>64</v>
      </c>
      <c r="F29" s="30" t="s">
        <v>64</v>
      </c>
      <c r="G29" s="30" t="s">
        <v>64</v>
      </c>
      <c r="H29" s="30" t="s">
        <v>64</v>
      </c>
      <c r="I29" s="30" t="s">
        <v>64</v>
      </c>
      <c r="J29" s="30" t="s">
        <v>64</v>
      </c>
      <c r="K29" s="31" t="s">
        <v>64</v>
      </c>
      <c r="L29" s="30" t="s">
        <v>64</v>
      </c>
      <c r="M29" s="30" t="s">
        <v>64</v>
      </c>
      <c r="N29" s="30" t="s">
        <v>64</v>
      </c>
      <c r="P29" s="26"/>
      <c r="Q29" s="46"/>
      <c r="R29" s="51"/>
      <c r="S29" s="51"/>
      <c r="T29" s="51"/>
      <c r="U29" s="18"/>
      <c r="V29" s="55"/>
      <c r="W29" s="55"/>
      <c r="X29" s="56" t="s">
        <v>87</v>
      </c>
      <c r="Y29" s="56"/>
      <c r="Z29" s="55"/>
      <c r="AA29" s="55"/>
      <c r="AB29" s="57"/>
      <c r="AC29" s="55"/>
      <c r="AD29" s="55"/>
      <c r="AE29" s="56" t="s">
        <v>86</v>
      </c>
      <c r="AG29" s="55"/>
      <c r="AH29" s="55"/>
      <c r="AI29" s="55"/>
      <c r="AJ29" s="55"/>
      <c r="AK29" s="55"/>
      <c r="AL29" s="55"/>
      <c r="AM29" s="56" t="s">
        <v>194</v>
      </c>
      <c r="AN29" s="72"/>
      <c r="AO29" s="55"/>
      <c r="AP29" s="57"/>
      <c r="AQ29" s="55"/>
      <c r="AR29" s="55"/>
      <c r="AS29" s="56" t="s">
        <v>198</v>
      </c>
      <c r="AU29" s="55"/>
      <c r="AV29" s="55"/>
      <c r="AY29" s="266" t="s">
        <v>170</v>
      </c>
      <c r="AZ29" s="267"/>
      <c r="BA29" s="267"/>
      <c r="BB29" s="267"/>
      <c r="BC29" s="267"/>
      <c r="BD29" s="267"/>
      <c r="BE29" s="268"/>
      <c r="BF29" s="277" t="s">
        <v>208</v>
      </c>
      <c r="BG29" s="278"/>
      <c r="BH29" s="281" t="s">
        <v>174</v>
      </c>
      <c r="BI29" s="282"/>
      <c r="BJ29" s="282"/>
      <c r="BK29" s="282"/>
      <c r="BL29" s="282"/>
      <c r="BM29" s="283"/>
      <c r="BN29" s="284" t="s">
        <v>150</v>
      </c>
      <c r="BO29" s="285"/>
      <c r="BP29" s="285"/>
      <c r="BQ29" s="285"/>
      <c r="BR29" s="285"/>
      <c r="BS29" s="285"/>
      <c r="BT29" s="285"/>
      <c r="BU29" s="285"/>
      <c r="BV29" s="286"/>
      <c r="BZ29" s="266" t="s">
        <v>169</v>
      </c>
      <c r="CA29" s="267"/>
      <c r="CB29" s="267"/>
      <c r="CC29" s="267"/>
      <c r="CD29" s="267"/>
      <c r="CE29" s="267"/>
      <c r="CF29" s="268"/>
      <c r="CG29" s="277" t="s">
        <v>208</v>
      </c>
      <c r="CH29" s="278"/>
      <c r="CI29" s="281" t="s">
        <v>180</v>
      </c>
      <c r="CJ29" s="282"/>
      <c r="CK29" s="282"/>
      <c r="CL29" s="282"/>
      <c r="CM29" s="282"/>
      <c r="CN29" s="283"/>
      <c r="CO29" s="284" t="s">
        <v>150</v>
      </c>
      <c r="CP29" s="285"/>
      <c r="CQ29" s="285"/>
      <c r="CR29" s="285"/>
      <c r="CS29" s="285"/>
      <c r="CT29" s="285"/>
      <c r="CU29" s="285"/>
      <c r="CV29" s="285"/>
      <c r="CW29" s="286"/>
      <c r="DA29" s="266" t="s">
        <v>173</v>
      </c>
      <c r="DB29" s="267"/>
      <c r="DC29" s="267"/>
      <c r="DD29" s="267"/>
      <c r="DE29" s="267"/>
      <c r="DF29" s="267"/>
      <c r="DG29" s="268"/>
      <c r="DH29" s="277" t="s">
        <v>208</v>
      </c>
      <c r="DI29" s="278"/>
      <c r="DJ29" s="281" t="s">
        <v>199</v>
      </c>
      <c r="DK29" s="282"/>
      <c r="DL29" s="282"/>
      <c r="DM29" s="282"/>
      <c r="DN29" s="282"/>
      <c r="DO29" s="283"/>
      <c r="DP29" s="284" t="s">
        <v>150</v>
      </c>
      <c r="DQ29" s="285"/>
      <c r="DR29" s="285"/>
      <c r="DS29" s="285"/>
      <c r="DT29" s="285"/>
      <c r="DU29" s="285"/>
      <c r="DV29" s="285"/>
      <c r="DW29" s="285"/>
      <c r="DX29" s="286"/>
    </row>
    <row r="30" spans="2:130" ht="15.65" customHeight="1" x14ac:dyDescent="0.3">
      <c r="C30" s="44" t="s">
        <v>41</v>
      </c>
      <c r="D30" s="1">
        <v>0.91310000000000002</v>
      </c>
      <c r="E30" s="1">
        <v>0.3735</v>
      </c>
      <c r="F30" s="1">
        <v>16</v>
      </c>
      <c r="G30" s="1">
        <v>2.4500000000000002</v>
      </c>
      <c r="H30" s="1">
        <v>2.64E-2</v>
      </c>
      <c r="I30" s="1">
        <v>0.1</v>
      </c>
      <c r="J30" s="1">
        <v>0.2611</v>
      </c>
      <c r="K30" s="1">
        <v>1.5650999999999999</v>
      </c>
      <c r="L30" s="1">
        <v>2.492</v>
      </c>
      <c r="M30" s="1">
        <v>1.2983</v>
      </c>
      <c r="N30" s="1">
        <v>4.7831999999999999</v>
      </c>
      <c r="P30" s="5"/>
      <c r="Q30" s="27" t="str">
        <f>C30</f>
        <v>Mean @ Week 1</v>
      </c>
      <c r="R30" s="4">
        <f>L30/(1+L30)</f>
        <v>0.71363115693012602</v>
      </c>
      <c r="S30" s="4"/>
      <c r="T30" s="4"/>
      <c r="U30" s="26" t="str">
        <f>IF(ISBLANK(C29),"",C29)</f>
        <v/>
      </c>
      <c r="V30" s="4"/>
      <c r="W30" s="5"/>
      <c r="X30" s="59" t="s">
        <v>195</v>
      </c>
      <c r="Y30" s="8"/>
      <c r="Z30" s="5"/>
      <c r="AA30" s="5"/>
      <c r="AC30" s="5"/>
      <c r="AD30" s="5"/>
      <c r="AE30" s="8" t="s">
        <v>191</v>
      </c>
      <c r="AF30" s="4"/>
      <c r="AG30" s="4"/>
      <c r="AH30" s="4"/>
      <c r="AI30" s="4" t="s">
        <v>75</v>
      </c>
      <c r="AJ30" s="5"/>
      <c r="AK30" s="5"/>
      <c r="AL30" s="5"/>
      <c r="AM30" s="59" t="s">
        <v>193</v>
      </c>
      <c r="AN30" s="5"/>
      <c r="AO30" s="5"/>
      <c r="AQ30" s="5"/>
      <c r="AR30" s="5"/>
      <c r="AS30" s="8" t="s">
        <v>184</v>
      </c>
      <c r="AT30" s="8"/>
      <c r="AU30" s="5"/>
      <c r="AV30" s="5"/>
      <c r="AY30" s="269" t="s">
        <v>175</v>
      </c>
      <c r="AZ30" s="271" t="s">
        <v>152</v>
      </c>
      <c r="BA30" s="273" t="s">
        <v>153</v>
      </c>
      <c r="BB30" s="274"/>
      <c r="BC30" s="275"/>
      <c r="BD30" s="276" t="s">
        <v>154</v>
      </c>
      <c r="BE30" s="276"/>
      <c r="BF30" s="106" t="s">
        <v>171</v>
      </c>
      <c r="BG30" s="107" t="s">
        <v>172</v>
      </c>
      <c r="BH30" s="273" t="str">
        <f>"Effect &amp; re-estimated "&amp;BE32&amp;"% confidence limits"</f>
        <v>Effect &amp; re-estimated 90% confidence limits</v>
      </c>
      <c r="BI30" s="274"/>
      <c r="BJ30" s="274"/>
      <c r="BK30" s="275"/>
      <c r="BL30" s="277" t="s">
        <v>155</v>
      </c>
      <c r="BM30" s="278"/>
      <c r="BN30" s="287" t="e">
        <f>"...beneficial or
substantially "&amp;BF31</f>
        <v>#VALUE!</v>
      </c>
      <c r="BO30" s="288"/>
      <c r="BP30" s="289"/>
      <c r="BQ30" s="293" t="s">
        <v>156</v>
      </c>
      <c r="BR30" s="293"/>
      <c r="BS30" s="294"/>
      <c r="BT30" s="297" t="e">
        <f>"...harmful or 
substantially "&amp;BG31</f>
        <v>#VALUE!</v>
      </c>
      <c r="BU30" s="298"/>
      <c r="BV30" s="299"/>
      <c r="BW30" s="303" t="s">
        <v>157</v>
      </c>
      <c r="BZ30" s="269" t="s">
        <v>151</v>
      </c>
      <c r="CA30" s="271" t="s">
        <v>152</v>
      </c>
      <c r="CB30" s="273" t="s">
        <v>153</v>
      </c>
      <c r="CC30" s="274"/>
      <c r="CD30" s="275"/>
      <c r="CE30" s="276" t="s">
        <v>154</v>
      </c>
      <c r="CF30" s="276"/>
      <c r="CG30" s="231" t="s">
        <v>171</v>
      </c>
      <c r="CH30" s="232" t="s">
        <v>172</v>
      </c>
      <c r="CI30" s="83"/>
      <c r="CJ30" s="84" t="str">
        <f>CF32&amp;"% confidence limits"</f>
        <v>90% confidence limits</v>
      </c>
      <c r="CK30" s="85"/>
      <c r="CL30" s="86"/>
      <c r="CM30" s="277" t="s">
        <v>155</v>
      </c>
      <c r="CN30" s="278"/>
      <c r="CO30" s="287" t="e">
        <f>"...beneficial or
substantially "&amp;CG31</f>
        <v>#VALUE!</v>
      </c>
      <c r="CP30" s="288"/>
      <c r="CQ30" s="289"/>
      <c r="CR30" s="293" t="s">
        <v>156</v>
      </c>
      <c r="CS30" s="293"/>
      <c r="CT30" s="294"/>
      <c r="CU30" s="297" t="e">
        <f>"...harmful or 
substantially "&amp;CH31</f>
        <v>#VALUE!</v>
      </c>
      <c r="CV30" s="298"/>
      <c r="CW30" s="299"/>
      <c r="CX30" s="303" t="s">
        <v>157</v>
      </c>
      <c r="DA30" s="269" t="s">
        <v>151</v>
      </c>
      <c r="DB30" s="271" t="s">
        <v>152</v>
      </c>
      <c r="DC30" s="273" t="s">
        <v>153</v>
      </c>
      <c r="DD30" s="274"/>
      <c r="DE30" s="275"/>
      <c r="DF30" s="276" t="s">
        <v>154</v>
      </c>
      <c r="DG30" s="276"/>
      <c r="DH30" s="231" t="s">
        <v>171</v>
      </c>
      <c r="DI30" s="232" t="s">
        <v>172</v>
      </c>
      <c r="DJ30" s="273" t="str">
        <f>"Effect &amp; re-estimated "&amp;DG32&amp;"% confidence limits"</f>
        <v>Effect &amp; re-estimated 90% confidence limits</v>
      </c>
      <c r="DK30" s="274"/>
      <c r="DL30" s="274"/>
      <c r="DM30" s="275"/>
      <c r="DN30" s="277" t="s">
        <v>155</v>
      </c>
      <c r="DO30" s="278"/>
      <c r="DP30" s="287" t="e">
        <f>"...beneficial or
substantially "&amp;DH31</f>
        <v>#VALUE!</v>
      </c>
      <c r="DQ30" s="288"/>
      <c r="DR30" s="289"/>
      <c r="DS30" s="293" t="s">
        <v>156</v>
      </c>
      <c r="DT30" s="293"/>
      <c r="DU30" s="294"/>
      <c r="DV30" s="297" t="e">
        <f>"...harmful or 
substantially "&amp;DI31</f>
        <v>#VALUE!</v>
      </c>
      <c r="DW30" s="298"/>
      <c r="DX30" s="299"/>
      <c r="DY30" s="303" t="s">
        <v>157</v>
      </c>
    </row>
    <row r="31" spans="2:130" ht="15.65" customHeight="1" x14ac:dyDescent="0.3">
      <c r="C31" s="44" t="s">
        <v>42</v>
      </c>
      <c r="D31" s="1">
        <v>0.95109999999999995</v>
      </c>
      <c r="E31" s="1">
        <v>0.40410000000000001</v>
      </c>
      <c r="F31" s="1">
        <v>16</v>
      </c>
      <c r="G31" s="1">
        <v>2.35</v>
      </c>
      <c r="H31" s="1">
        <v>3.1699999999999999E-2</v>
      </c>
      <c r="I31" s="1">
        <v>0.1</v>
      </c>
      <c r="J31" s="1">
        <v>0.2455</v>
      </c>
      <c r="K31" s="1">
        <v>1.6567000000000001</v>
      </c>
      <c r="L31" s="1">
        <v>2.5884999999999998</v>
      </c>
      <c r="M31" s="1">
        <v>1.2782</v>
      </c>
      <c r="N31" s="1">
        <v>5.2417999999999996</v>
      </c>
      <c r="P31" s="5"/>
      <c r="Q31" s="27" t="str">
        <f>C31</f>
        <v>Mean @ Week 6</v>
      </c>
      <c r="R31" s="4">
        <f>L31/(1+L31)</f>
        <v>0.72133203288282011</v>
      </c>
      <c r="S31" s="4"/>
      <c r="T31" s="4"/>
      <c r="U31" s="14"/>
      <c r="V31" s="60" t="s">
        <v>2</v>
      </c>
      <c r="W31" s="60" t="s">
        <v>12</v>
      </c>
      <c r="X31" s="60" t="s">
        <v>13</v>
      </c>
      <c r="Y31" s="77" t="s">
        <v>141</v>
      </c>
      <c r="Z31" s="60" t="s">
        <v>61</v>
      </c>
      <c r="AA31" s="60" t="s">
        <v>60</v>
      </c>
      <c r="AC31" s="60" t="s">
        <v>2</v>
      </c>
      <c r="AD31" s="60" t="s">
        <v>12</v>
      </c>
      <c r="AE31" s="60" t="s">
        <v>13</v>
      </c>
      <c r="AF31" s="60" t="s">
        <v>61</v>
      </c>
      <c r="AG31" s="60" t="s">
        <v>60</v>
      </c>
      <c r="AH31" s="60"/>
      <c r="AI31" s="61" t="s">
        <v>83</v>
      </c>
      <c r="AJ31" s="5"/>
      <c r="AK31" s="60" t="s">
        <v>2</v>
      </c>
      <c r="AL31" s="60" t="s">
        <v>12</v>
      </c>
      <c r="AM31" s="60" t="s">
        <v>13</v>
      </c>
      <c r="AN31" s="62" t="s">
        <v>61</v>
      </c>
      <c r="AO31" s="62" t="s">
        <v>60</v>
      </c>
      <c r="AQ31" s="60" t="s">
        <v>2</v>
      </c>
      <c r="AR31" s="60" t="s">
        <v>12</v>
      </c>
      <c r="AS31" s="60" t="s">
        <v>13</v>
      </c>
      <c r="AT31" s="60" t="s">
        <v>139</v>
      </c>
      <c r="AU31" s="62" t="s">
        <v>61</v>
      </c>
      <c r="AV31" s="62" t="s">
        <v>60</v>
      </c>
      <c r="AY31" s="270"/>
      <c r="AZ31" s="272"/>
      <c r="BA31" s="87" t="s">
        <v>158</v>
      </c>
      <c r="BB31" s="88" t="s">
        <v>159</v>
      </c>
      <c r="BC31" s="93" t="s">
        <v>168</v>
      </c>
      <c r="BD31" s="89" t="s">
        <v>160</v>
      </c>
      <c r="BE31" s="90" t="s">
        <v>161</v>
      </c>
      <c r="BF31" s="91" t="e">
        <f>IF(BF32&lt;1,"decr.","incr.")</f>
        <v>#VALUE!</v>
      </c>
      <c r="BG31" s="92" t="e">
        <f>IF(BG32&gt;1,"incr.","decr.")</f>
        <v>#VALUE!</v>
      </c>
      <c r="BH31" s="83" t="s">
        <v>17</v>
      </c>
      <c r="BI31" s="90" t="s">
        <v>162</v>
      </c>
      <c r="BJ31" s="90" t="s">
        <v>163</v>
      </c>
      <c r="BK31" s="93" t="s">
        <v>168</v>
      </c>
      <c r="BL31" s="94" t="s">
        <v>164</v>
      </c>
      <c r="BM31" s="95" t="s">
        <v>165</v>
      </c>
      <c r="BN31" s="290"/>
      <c r="BO31" s="291"/>
      <c r="BP31" s="292"/>
      <c r="BQ31" s="295"/>
      <c r="BR31" s="295"/>
      <c r="BS31" s="296"/>
      <c r="BT31" s="300"/>
      <c r="BU31" s="301"/>
      <c r="BV31" s="302"/>
      <c r="BW31" s="304"/>
      <c r="BX31" s="97" t="s">
        <v>167</v>
      </c>
      <c r="BZ31" s="270"/>
      <c r="CA31" s="272"/>
      <c r="CB31" s="87" t="s">
        <v>158</v>
      </c>
      <c r="CC31" s="88" t="s">
        <v>159</v>
      </c>
      <c r="CD31" s="93" t="s">
        <v>138</v>
      </c>
      <c r="CE31" s="89" t="s">
        <v>160</v>
      </c>
      <c r="CF31" s="90" t="s">
        <v>161</v>
      </c>
      <c r="CG31" s="217" t="e">
        <f>IF(CG32&lt;0,"decr.","incr.")</f>
        <v>#VALUE!</v>
      </c>
      <c r="CH31" s="218" t="e">
        <f>IF(CH32&gt;0,"incr.","decr.")</f>
        <v>#VALUE!</v>
      </c>
      <c r="CI31" s="83" t="s">
        <v>17</v>
      </c>
      <c r="CJ31" s="90" t="s">
        <v>162</v>
      </c>
      <c r="CK31" s="90" t="s">
        <v>163</v>
      </c>
      <c r="CL31" s="93" t="s">
        <v>138</v>
      </c>
      <c r="CM31" s="94" t="s">
        <v>164</v>
      </c>
      <c r="CN31" s="95" t="s">
        <v>165</v>
      </c>
      <c r="CO31" s="290"/>
      <c r="CP31" s="291"/>
      <c r="CQ31" s="292"/>
      <c r="CR31" s="295"/>
      <c r="CS31" s="295"/>
      <c r="CT31" s="296"/>
      <c r="CU31" s="300"/>
      <c r="CV31" s="301"/>
      <c r="CW31" s="302"/>
      <c r="CX31" s="304"/>
      <c r="CY31" s="96" t="s">
        <v>167</v>
      </c>
      <c r="DA31" s="270"/>
      <c r="DB31" s="272"/>
      <c r="DC31" s="87" t="s">
        <v>158</v>
      </c>
      <c r="DD31" s="88" t="s">
        <v>159</v>
      </c>
      <c r="DE31" s="93" t="s">
        <v>138</v>
      </c>
      <c r="DF31" s="89" t="s">
        <v>160</v>
      </c>
      <c r="DG31" s="90" t="s">
        <v>161</v>
      </c>
      <c r="DH31" s="217" t="e">
        <f>IF(DH32&lt;0,"decr.","incr.")</f>
        <v>#VALUE!</v>
      </c>
      <c r="DI31" s="218" t="e">
        <f>IF(DI32&gt;0,"incr.","decr.")</f>
        <v>#VALUE!</v>
      </c>
      <c r="DJ31" s="83" t="s">
        <v>17</v>
      </c>
      <c r="DK31" s="90" t="s">
        <v>162</v>
      </c>
      <c r="DL31" s="90" t="s">
        <v>163</v>
      </c>
      <c r="DM31" s="93" t="s">
        <v>138</v>
      </c>
      <c r="DN31" s="94" t="s">
        <v>164</v>
      </c>
      <c r="DO31" s="95" t="s">
        <v>165</v>
      </c>
      <c r="DP31" s="290"/>
      <c r="DQ31" s="291"/>
      <c r="DR31" s="292"/>
      <c r="DS31" s="295"/>
      <c r="DT31" s="295"/>
      <c r="DU31" s="296"/>
      <c r="DV31" s="300"/>
      <c r="DW31" s="301"/>
      <c r="DX31" s="302"/>
      <c r="DY31" s="304"/>
      <c r="DZ31" s="96" t="s">
        <v>167</v>
      </c>
    </row>
    <row r="32" spans="2:130" ht="15.65" customHeight="1" x14ac:dyDescent="0.3">
      <c r="C32" s="44" t="s">
        <v>80</v>
      </c>
      <c r="D32" s="1">
        <v>3.7969999999999997E-2</v>
      </c>
      <c r="E32" s="1">
        <v>0.56520000000000004</v>
      </c>
      <c r="F32" s="1">
        <v>16</v>
      </c>
      <c r="G32" s="1">
        <v>7.0000000000000007E-2</v>
      </c>
      <c r="H32" s="1">
        <v>0.94730000000000003</v>
      </c>
      <c r="I32" s="1">
        <v>0.1</v>
      </c>
      <c r="J32" s="12">
        <v>-0.94879999999999998</v>
      </c>
      <c r="K32" s="1">
        <v>1.0246999999999999</v>
      </c>
      <c r="L32" s="1">
        <v>1.0387</v>
      </c>
      <c r="M32" s="1">
        <v>0.38719999999999999</v>
      </c>
      <c r="N32" s="1">
        <v>2.7862</v>
      </c>
      <c r="P32" s="5"/>
      <c r="R32" s="5"/>
      <c r="S32" s="5"/>
      <c r="T32" s="5"/>
      <c r="U32" s="26" t="str">
        <f>C32</f>
        <v>Week 6/Week 1</v>
      </c>
      <c r="V32" s="48">
        <f>L30*L32/(1+L30*L32)/R30</f>
        <v>1.0107846294451484</v>
      </c>
      <c r="W32" s="48">
        <f>EXP(LN(V32)-_xlfn.T.INV.2T(I32,F32)*ABS(LN(V32))/ABS(G32))</f>
        <v>0.77351163164004455</v>
      </c>
      <c r="X32" s="48">
        <f>EXP(LN(V32)+_xlfn.T.INV.2T(I32,F32)*ABS(LN(V32))/ABS(G32))</f>
        <v>1.3208405993279357</v>
      </c>
      <c r="Y32" s="48">
        <f>SQRT(X32/W32)</f>
        <v>1.3067478084356969</v>
      </c>
      <c r="Z32" s="4">
        <f>$V$26</f>
        <v>0.9</v>
      </c>
      <c r="AA32" s="4">
        <f>$V$27</f>
        <v>1.1111111111111112</v>
      </c>
      <c r="AC32" s="4">
        <f>D32</f>
        <v>3.7969999999999997E-2</v>
      </c>
      <c r="AD32" s="4">
        <f>J32</f>
        <v>-0.94879999999999998</v>
      </c>
      <c r="AE32" s="4">
        <f>K32</f>
        <v>1.0246999999999999</v>
      </c>
      <c r="AF32" s="4">
        <f>LN(Z32*R30/(1-Z32*R30)/L30)</f>
        <v>-0.32786386208461249</v>
      </c>
      <c r="AG32" s="4">
        <f>LN(AA32*R30/(1-AA32*R30)/L30)</f>
        <v>0.42955290363725485</v>
      </c>
      <c r="AH32" s="4"/>
      <c r="AI32" s="4">
        <f>SQRT($D$11+$D$13*(1/($H$4*$R30)+1/($H$4*(1-$R30))))</f>
        <v>1.230292291898061</v>
      </c>
      <c r="AJ32" s="5"/>
      <c r="AK32" s="4">
        <f>AC32/AI32</f>
        <v>3.0862584647605107E-2</v>
      </c>
      <c r="AL32" s="4">
        <f>AD32/AI32</f>
        <v>-0.7711988494508224</v>
      </c>
      <c r="AM32" s="4">
        <f>AE32/AI32</f>
        <v>0.83289150614698326</v>
      </c>
      <c r="AN32" s="143">
        <f>$AK$26</f>
        <v>-0.2</v>
      </c>
      <c r="AO32" s="143">
        <f>$AK$27</f>
        <v>0.2</v>
      </c>
      <c r="AQ32" s="50">
        <f>10*(2*SQRT(L32)/(1+SQRT(L32))-1)</f>
        <v>9.4921977094057919E-2</v>
      </c>
      <c r="AR32" s="50">
        <f>10*(2*SQRT(M32)/(1+SQRT(M32))-1)</f>
        <v>-2.3285258667049016</v>
      </c>
      <c r="AS32" s="50">
        <f>10*(2*SQRT(N32)/(1+SQRT(N32))-1)</f>
        <v>2.507094154988545</v>
      </c>
      <c r="AT32" s="50">
        <f>(AS32-AR32)/2</f>
        <v>2.4178100108467233</v>
      </c>
      <c r="AU32" s="10">
        <f>$AQ$26</f>
        <v>-1</v>
      </c>
      <c r="AV32" s="10">
        <f>$AQ$27</f>
        <v>1</v>
      </c>
      <c r="AW32" s="6" t="str">
        <f>U32</f>
        <v>Week 6/Week 1</v>
      </c>
      <c r="AY32" s="108">
        <f>V32</f>
        <v>1.0107846294451484</v>
      </c>
      <c r="AZ32" s="109">
        <f>F32</f>
        <v>16</v>
      </c>
      <c r="BA32" s="108">
        <f>W32</f>
        <v>0.77351163164004455</v>
      </c>
      <c r="BB32" s="108">
        <f>X32</f>
        <v>1.3208405993279357</v>
      </c>
      <c r="BC32" s="108">
        <f>SQRT(BB32/BA32)</f>
        <v>1.3067478084356969</v>
      </c>
      <c r="BD32" s="110">
        <f>100*(1-I32)</f>
        <v>90</v>
      </c>
      <c r="BE32" s="102">
        <f>100-2*$BC$7</f>
        <v>90</v>
      </c>
      <c r="BF32" s="108" t="e">
        <f>$P$5*Z32+$Q$5*AA32</f>
        <v>#VALUE!</v>
      </c>
      <c r="BG32" s="108" t="e">
        <f>$Q$5*Z32+$P$5*AA32</f>
        <v>#VALUE!</v>
      </c>
      <c r="BH32" s="103">
        <f>AY32</f>
        <v>1.0107846294451484</v>
      </c>
      <c r="BI32" s="103">
        <f>EXP(LN(AY32)-TINV((100-BE32)/100,AZ32)*BX32)</f>
        <v>0.77351163164004455</v>
      </c>
      <c r="BJ32" s="103">
        <f>EXP(LN(AY32)+TINV((100-BE32)/100,AZ32)*BX32)</f>
        <v>1.3208405993279357</v>
      </c>
      <c r="BK32" s="103">
        <f>SQRT(BJ32/BI32)</f>
        <v>1.3067478084356969</v>
      </c>
      <c r="BL32" s="118" t="e">
        <f>IF(BN32&lt;$BE$7,IF(MAX(BQ32,BT32)=BQ32,BS32&amp;" trivial; don't use",BV32&amp;" harmful; don't use"),IF(BT32&lt;$BA$7,BP32&amp;" beneficial; use","unclear; don't use"))</f>
        <v>#VALUE!</v>
      </c>
      <c r="BM32" s="118" t="e">
        <f>IF(MIN(BN32,BT32)&gt;$BC$7,"unclear",IF(MAX(BN32,BQ32,BT32)=BN32,BP32&amp;" "&amp;BF31,IF(MAX(BN32,BQ32,BT32)=BQ32,BS32&amp;" trivial",BV32&amp;" "&amp;BG31)))</f>
        <v>#VALUE!</v>
      </c>
      <c r="BN32" s="98" t="e">
        <f>100*IF(LN(BF32)&gt;0,IF(LN(AY32)-LN(BF32)&gt;0,1-TDIST((LN(AY32)-LN(BF32))/BX32,AZ32,1),TDIST((LN(BF32)-LN(AY32))/BX32,AZ32,1)),IF(LN(AY32)-LN(BF32)&gt;0,TDIST((LN(AY32)-LN(BF32))/BX32,AZ32,1),1-TDIST((LN(BF32)-LN(AY32))/BX32,AZ32,1)))</f>
        <v>#VALUE!</v>
      </c>
      <c r="BO32" s="99" t="s">
        <v>166</v>
      </c>
      <c r="BP32" s="100" t="e">
        <f>IF(BN32&lt;$BA$7,$AZ$7,IF(BN32&lt;$BC$7,$BB$7,IF(BN32&lt;$BE$7,$BD$7,IF(BN32&lt;$BG$7,$BF$7,IF(BN32&lt;$BI$7,$BH$7,IF(BN32&lt;$BK$7,$BJ$7,$BL$7))))))</f>
        <v>#VALUE!</v>
      </c>
      <c r="BQ32" s="101" t="e">
        <f>100-BN32-BT32</f>
        <v>#VALUE!</v>
      </c>
      <c r="BR32" s="99" t="s">
        <v>166</v>
      </c>
      <c r="BS32" s="100" t="e">
        <f>IF(BQ32&lt;$BA$7,$AZ$7,IF(BQ32&lt;$BC$7,$BB$7,IF(BQ32&lt;$BE$7,$BD$7,IF(BQ32&lt;$BG$7,$BF$7,IF(BQ32&lt;$BI$7,$BH$7,IF(BQ32&lt;$BK$7,$BJ$7,$BL$7))))))</f>
        <v>#VALUE!</v>
      </c>
      <c r="BT32" s="98" t="e">
        <f>100*IF(LN(BG32)&gt;0,IF(LN(AY32)-LN(BG32)&gt;0,1-TDIST((LN(AY32)-LN(BG32))/BX32,AZ32,1),TDIST((LN(BG32)-LN(AY32))/BX32,AZ32,1)),IF(LN(AY32)-LN(BG32)&gt;0,TDIST((LN(AY32)-LN(BG32))/BX32,AZ32,1),1-TDIST((LN(BG32)-LN(AY32))/BX32,AZ32,1)))</f>
        <v>#VALUE!</v>
      </c>
      <c r="BU32" s="99" t="s">
        <v>166</v>
      </c>
      <c r="BV32" s="100" t="e">
        <f>IF(BT32&lt;$BA$7,$AZ$7,IF(BT32&lt;$BC$7,$BB$7,IF(BT32&lt;$BE$7,$BD$7,IF(BT32&lt;$BG$7,$BF$7,IF(BT32&lt;$BI$7,$BH$7,IF(BT32&lt;$BK$7,$BJ$7,$BL$7))))))</f>
        <v>#VALUE!</v>
      </c>
      <c r="BW32" s="115" t="e">
        <f>BN32/(100-BN32)/(BT32/(100-BT32))</f>
        <v>#VALUE!</v>
      </c>
      <c r="BX32" s="105">
        <f>(LN(BB32)-LN(BA32))/2/TINV(1-BD32/100,AZ32)</f>
        <v>0.15324128699656539</v>
      </c>
      <c r="BY32" s="24" t="str">
        <f>U32</f>
        <v>Week 6/Week 1</v>
      </c>
      <c r="BZ32" s="111">
        <f>AK32</f>
        <v>3.0862584647605107E-2</v>
      </c>
      <c r="CA32" s="109">
        <f>F32</f>
        <v>16</v>
      </c>
      <c r="CB32" s="111">
        <f>AL32</f>
        <v>-0.7711988494508224</v>
      </c>
      <c r="CC32" s="111">
        <f>AM32</f>
        <v>0.83289150614698326</v>
      </c>
      <c r="CD32" s="111">
        <f>(CC32-CB32)/2</f>
        <v>0.80204517779890283</v>
      </c>
      <c r="CE32" s="109">
        <f>100*(1-I32)</f>
        <v>90</v>
      </c>
      <c r="CF32" s="102">
        <f>100-2*$BC$7</f>
        <v>90</v>
      </c>
      <c r="CG32" s="233" t="e">
        <f>$P$5*AN32+$Q$5*AO32</f>
        <v>#VALUE!</v>
      </c>
      <c r="CH32" s="233" t="e">
        <f>$Q$5*AN32+$P$5*AO32</f>
        <v>#VALUE!</v>
      </c>
      <c r="CI32" s="117">
        <f>BZ32</f>
        <v>3.0862584647605107E-2</v>
      </c>
      <c r="CJ32" s="117">
        <f>BZ32-TINV((100-CF32)/100,CA32)*CY32</f>
        <v>-0.77118259315129767</v>
      </c>
      <c r="CK32" s="117">
        <f>BZ32+TINV((100-CF32)/100,CA32)*CY32</f>
        <v>0.83290776244650799</v>
      </c>
      <c r="CL32" s="117">
        <f>(CK32-CJ32)/2</f>
        <v>0.80204517779890283</v>
      </c>
      <c r="CM32" s="118" t="e">
        <f>IF(CO32&lt;$BE$7,IF(MAX(CR32,CU32)=CR32,CT32&amp;" trivial; don't use",CW32&amp;" harmful; don't use"),IF(CU32&lt;$BA$7,CQ32&amp;" beneficial; use","unclear; don't use"))</f>
        <v>#VALUE!</v>
      </c>
      <c r="CN32" s="118" t="e">
        <f>IF(MIN(CO32,CU32)&gt;$BC$7,"unclear",IF(MAX(CO32,CR32,CU32)=CO32,CQ32&amp;" "&amp;CG31,IF(MAX(CO32,CR32,CU32)=CR32,CT32&amp;" trivial",CW32&amp;" "&amp;CH31)))</f>
        <v>#VALUE!</v>
      </c>
      <c r="CO32" s="112" t="e">
        <f>100*IF(CG32&gt;0,IF(BZ32-CG32&gt;0,1-TDIST((BZ32-CG32)/CY32,CA32,1),TDIST((CG32-BZ32)/CY32,CA32,1)),IF(BZ32-CG32&gt;0,TDIST((BZ32-CG32)/CY32,CA32,1),1-TDIST((CG32-BZ32)/CY32,CA32,1)))</f>
        <v>#VALUE!</v>
      </c>
      <c r="CP32" s="113" t="s">
        <v>166</v>
      </c>
      <c r="CQ32" s="100" t="e">
        <f>IF(CO32&lt;$BA$7,$AZ$7,IF(CO32&lt;$BC$7,$BB$7,IF(CO32&lt;$BE$7,$BD$7,IF(CO32&lt;$BG$7,$BF$7,IF(CO32&lt;$BI$7,$BH$7,IF(CO32&lt;$BK$7,$BJ$7,$BL$7))))))</f>
        <v>#VALUE!</v>
      </c>
      <c r="CR32" s="114" t="e">
        <f>100-CO32-CU32</f>
        <v>#VALUE!</v>
      </c>
      <c r="CS32" s="113" t="s">
        <v>166</v>
      </c>
      <c r="CT32" s="100" t="e">
        <f>IF(CR32&lt;$BA$7,$AZ$7,IF(CR32&lt;$BC$7,$BB$7,IF(CR32&lt;$BE$7,$BD$7,IF(CR32&lt;$BG$7,$BF$7,IF(CR32&lt;$BI$7,$BH$7,IF(CR32&lt;$BK$7,$BJ$7,$BL$7))))))</f>
        <v>#VALUE!</v>
      </c>
      <c r="CU32" s="112" t="e">
        <f>100*IF(CH32&gt;0,IF(BZ32-CH32&gt;0,1-TDIST((BZ32-CH32)/CY32,CA32,1),TDIST((CH32-BZ32)/CY32,CA32,1)),IF(BZ32-CH32&gt;0,TDIST((BZ32-CH32)/CY32,CA32,1),1-TDIST((CH32-BZ32)/CY32,CA32,1)))</f>
        <v>#VALUE!</v>
      </c>
      <c r="CV32" s="113" t="s">
        <v>166</v>
      </c>
      <c r="CW32" s="100" t="e">
        <f>IF(CU32&lt;$BA$7,$AZ$7,IF(CU32&lt;$BC$7,$BB$7,IF(CU32&lt;$BE$7,$BD$7,IF(CU32&lt;$BG$7,$BF$7,IF(CU32&lt;$BI$7,$BH$7,IF(CU32&lt;$BK$7,$BJ$7,$BL$7))))))</f>
        <v>#VALUE!</v>
      </c>
      <c r="CX32" s="115" t="e">
        <f>CO32/(100-CO32)/(CU32/(100-CU32))</f>
        <v>#VALUE!</v>
      </c>
      <c r="CY32" s="105">
        <f>(CC32-CB32)/2/TINV(1-CE32/100,CA32)</f>
        <v>0.4593921053833116</v>
      </c>
      <c r="CZ32" s="24" t="str">
        <f>U32</f>
        <v>Week 6/Week 1</v>
      </c>
      <c r="DA32" s="116">
        <f>AQ32</f>
        <v>9.4921977094057919E-2</v>
      </c>
      <c r="DB32" s="109">
        <f>F32</f>
        <v>16</v>
      </c>
      <c r="DC32" s="116">
        <f>AR32</f>
        <v>-2.3285258667049016</v>
      </c>
      <c r="DD32" s="116">
        <f>AS32</f>
        <v>2.507094154988545</v>
      </c>
      <c r="DE32" s="116">
        <f>(DD32-DC32)/2</f>
        <v>2.4178100108467233</v>
      </c>
      <c r="DF32" s="109">
        <f>100*(1-I32)</f>
        <v>90</v>
      </c>
      <c r="DG32" s="102">
        <f>100-2*$BC$7</f>
        <v>90</v>
      </c>
      <c r="DH32" s="241" t="e">
        <f>$P$5*AU32+$Q$5*AV32</f>
        <v>#VALUE!</v>
      </c>
      <c r="DI32" s="241" t="e">
        <f>$Q$5*AU32+$P$5*AV32</f>
        <v>#VALUE!</v>
      </c>
      <c r="DJ32" s="104">
        <f>DA32</f>
        <v>9.4921977094057919E-2</v>
      </c>
      <c r="DK32" s="104">
        <f>10*(2*SQRT(EXP(LN(((1+DA32/10)/(1-DA32/10))^2)-TINV((100-DG32)/100,DB32)*DZ32))/(1+SQRT(EXP(LN(((1+DA32/10)/(1-DA32/10))^2)-TINV((100-DG32)/100,DB32)*DZ32)))-1)</f>
        <v>-2.3284370509508037</v>
      </c>
      <c r="DL32" s="104">
        <f>10*(2*SQRT(EXP(LN(((1+DA32/10)/(1-DA32/10))^2)+TINV((100-DG32)/100,DB32)*DZ32))/(1+SQRT(EXP(LN(((1+DA32/10)/(1-DA32/10))^2)+TINV((100-DG32)/100,DB32)*DZ32)))-1)</f>
        <v>2.5071821594631172</v>
      </c>
      <c r="DM32" s="104">
        <f>(DL32-DK32)/2</f>
        <v>2.4178096052069602</v>
      </c>
      <c r="DN32" s="118" t="e">
        <f>IF(DP32&lt;$BE$7,IF(MAX(DS32,DV32)=DS32,DU32&amp;" trivial; don't use",DX32&amp;" harmful; don't use"),IF(DV32&lt;$BA$7,DR32&amp;" beneficial; use","unclear; don't use"))</f>
        <v>#VALUE!</v>
      </c>
      <c r="DO32" s="118" t="e">
        <f>IF(MIN(DP32,DV32)&gt;$BC$7,"unclear",IF(MAX(DP32,DS32,DV32)=DP32,DR32&amp;" "&amp;DH31,IF(MAX(DP32,DS32,DV32)=DS32,DU32&amp;" trivial",DX32&amp;" "&amp;DI31)))</f>
        <v>#VALUE!</v>
      </c>
      <c r="DP32" s="112" t="e">
        <f>100*IF(LN(((1+DH32/10)/(1-DH32/10))^2)&gt;0,IF(LN(((1+DA32/10)/(1-DA32/10))^2)-LN(((1+DH32/10)/(1-DH32/10))^2)&gt;0,1-TDIST((LN(((1+DA32/10)/(1-DA32/10))^2)-LN(((1+DH32/10)/(1-DH32/10))^2))/DZ32,DB32,1),TDIST((LN(((1+DH32/10)/(1-DH32/10))^2)-LN(((1+DA32/10)/(1-DA32/10))^2))/DZ32,DB32,1)),IF(LN(((1+DA32/10)/(1-DA32/10))^2)-LN(((1+DH32/10)/(1-DH32/10))^2)&gt;0,TDIST((LN(((1+DA32/10)/(1-DA32/10))^2)-LN(((1+DH32/10)/(1-DH32/10))^2))/DZ32,DB32,1),1-TDIST((LN(((1+DH32/10)/(1-DH32/10))^2)-LN(((1+DA32/10)/(1-DA32/10))^2))/DZ32,DB32,1)))</f>
        <v>#VALUE!</v>
      </c>
      <c r="DQ32" s="113" t="s">
        <v>166</v>
      </c>
      <c r="DR32" s="100" t="e">
        <f>IF(DP32&lt;$BA$7,$AZ$7,IF(DP32&lt;$BC$7,$BB$7,IF(DP32&lt;$BE$7,$BD$7,IF(DP32&lt;$BG$7,$BF$7,IF(DP32&lt;$BI$7,$BH$7,IF(DP32&lt;$BK$7,$BJ$7,$BL$7))))))</f>
        <v>#VALUE!</v>
      </c>
      <c r="DS32" s="114" t="e">
        <f>100-DP32-DV32</f>
        <v>#VALUE!</v>
      </c>
      <c r="DT32" s="113" t="s">
        <v>166</v>
      </c>
      <c r="DU32" s="100" t="e">
        <f>IF(DS32&lt;$BA$7,$AZ$7,IF(DS32&lt;$BC$7,$BB$7,IF(DS32&lt;$BE$7,$BD$7,IF(DS32&lt;$BG$7,$BF$7,IF(DS32&lt;$BI$7,$BH$7,IF(DS32&lt;$BK$7,$BJ$7,$BL$7))))))</f>
        <v>#VALUE!</v>
      </c>
      <c r="DV32" s="112" t="e">
        <f>100*IF(LN(((1+DI32/10)/(1-DI32/10))^2)&gt;0,IF(LN(((1+DA32/10)/(1-DA32/10))^2)-LN(((1+DI32/10)/(1-DI32/10))^2)&gt;0,1-TDIST((LN(((1+DA32/10)/(1-DA32/10))^2)-LN(((1+DI32/10)/(1-DI32/10))^2))/DZ32,DB32,1),TDIST((LN(((1+DI32/10)/(1-DI32/10))^2)-LN(((1+DA32/10)/(1-DA32/10))^2))/DZ32,DB32,1)),IF(LN(((1+DA32/10)/(1-DA32/10))^2)-LN(((1+DI32/10)/(1-DI32/10))^2)&gt;0,TDIST((LN(((1+DA32/10)/(1-DA32/10))^2)-LN(((1+DI32/10)/(1-DI32/10))^2))/DZ32,DB32,1),1-TDIST((LN(((1+DI32/10)/(1-DI32/10))^2)-LN(((1+DA32/10)/(1-DA32/10))^2))/DZ32,DB32,1)))</f>
        <v>#VALUE!</v>
      </c>
      <c r="DW32" s="113" t="s">
        <v>166</v>
      </c>
      <c r="DX32" s="100" t="e">
        <f>IF(DV32&lt;$BA$7,$AZ$7,IF(DV32&lt;$BC$7,$BB$7,IF(DV32&lt;$BE$7,$BD$7,IF(DV32&lt;$BG$7,$BF$7,IF(DV32&lt;$BI$7,$BH$7,IF(DV32&lt;$BK$7,$BJ$7,$BL$7))))))</f>
        <v>#VALUE!</v>
      </c>
      <c r="DY32" s="115" t="e">
        <f>DP32/(100-DP32)/(DV32/(100-DV32))</f>
        <v>#VALUE!</v>
      </c>
      <c r="DZ32" s="105">
        <f>(LN(((1+DD32/10)/(1-DD32/10))^2)-LN(((1+DC32/10)/(1-DC32/10))^2))/2/TINV(1-DF32/100,DB32)</f>
        <v>0.5651844423217568</v>
      </c>
    </row>
    <row r="33" spans="3:130" ht="15.65" customHeight="1" x14ac:dyDescent="0.3">
      <c r="C33" s="44"/>
      <c r="D33" s="1">
        <v>0</v>
      </c>
      <c r="E33" s="30" t="s">
        <v>64</v>
      </c>
      <c r="F33" s="30" t="s">
        <v>64</v>
      </c>
      <c r="G33" s="30" t="s">
        <v>64</v>
      </c>
      <c r="H33" s="30" t="s">
        <v>64</v>
      </c>
      <c r="I33" s="30" t="s">
        <v>64</v>
      </c>
      <c r="J33" s="30" t="s">
        <v>64</v>
      </c>
      <c r="K33" s="31" t="s">
        <v>64</v>
      </c>
      <c r="L33" s="30" t="s">
        <v>64</v>
      </c>
      <c r="M33" s="30" t="s">
        <v>64</v>
      </c>
      <c r="N33" s="30" t="s">
        <v>64</v>
      </c>
      <c r="P33" s="26"/>
      <c r="Q33" s="46"/>
      <c r="R33" s="51"/>
      <c r="S33" s="51"/>
      <c r="T33" s="51"/>
      <c r="U33" s="18"/>
      <c r="Z33" s="5"/>
      <c r="AA33" s="5"/>
      <c r="AC33" s="5"/>
      <c r="AD33" s="5"/>
      <c r="AE33" s="7"/>
      <c r="AF33" s="5"/>
      <c r="AG33" s="5"/>
      <c r="AH33" s="5"/>
      <c r="AI33" s="8"/>
      <c r="AJ33" s="5"/>
      <c r="AK33" s="5"/>
      <c r="AL33" s="5"/>
      <c r="AM33" s="5"/>
      <c r="AN33" s="9"/>
      <c r="AO33" s="5"/>
      <c r="AS33" s="33"/>
      <c r="AT33" s="50"/>
      <c r="AU33" s="5"/>
      <c r="AV33" s="5"/>
      <c r="AY33" s="266" t="s">
        <v>170</v>
      </c>
      <c r="AZ33" s="267"/>
      <c r="BA33" s="267"/>
      <c r="BB33" s="267"/>
      <c r="BC33" s="267"/>
      <c r="BD33" s="267"/>
      <c r="BE33" s="268"/>
      <c r="BF33" s="277" t="s">
        <v>208</v>
      </c>
      <c r="BG33" s="278"/>
      <c r="BH33" s="281" t="s">
        <v>174</v>
      </c>
      <c r="BI33" s="282"/>
      <c r="BJ33" s="282"/>
      <c r="BK33" s="282"/>
      <c r="BL33" s="282"/>
      <c r="BM33" s="283"/>
      <c r="BN33" s="284" t="s">
        <v>150</v>
      </c>
      <c r="BO33" s="285"/>
      <c r="BP33" s="285"/>
      <c r="BQ33" s="285"/>
      <c r="BR33" s="285"/>
      <c r="BS33" s="285"/>
      <c r="BT33" s="285"/>
      <c r="BU33" s="285"/>
      <c r="BV33" s="286"/>
      <c r="BZ33" s="266" t="s">
        <v>169</v>
      </c>
      <c r="CA33" s="267"/>
      <c r="CB33" s="267"/>
      <c r="CC33" s="267"/>
      <c r="CD33" s="267"/>
      <c r="CE33" s="267"/>
      <c r="CF33" s="268"/>
      <c r="CG33" s="277" t="s">
        <v>208</v>
      </c>
      <c r="CH33" s="278"/>
      <c r="CI33" s="281" t="s">
        <v>180</v>
      </c>
      <c r="CJ33" s="282"/>
      <c r="CK33" s="282"/>
      <c r="CL33" s="282"/>
      <c r="CM33" s="282"/>
      <c r="CN33" s="283"/>
      <c r="CO33" s="284" t="s">
        <v>150</v>
      </c>
      <c r="CP33" s="285"/>
      <c r="CQ33" s="285"/>
      <c r="CR33" s="285"/>
      <c r="CS33" s="285"/>
      <c r="CT33" s="285"/>
      <c r="CU33" s="285"/>
      <c r="CV33" s="285"/>
      <c r="CW33" s="286"/>
      <c r="DA33" s="266" t="s">
        <v>173</v>
      </c>
      <c r="DB33" s="267"/>
      <c r="DC33" s="267"/>
      <c r="DD33" s="267"/>
      <c r="DE33" s="267"/>
      <c r="DF33" s="267"/>
      <c r="DG33" s="268"/>
      <c r="DH33" s="277" t="s">
        <v>208</v>
      </c>
      <c r="DI33" s="278"/>
      <c r="DJ33" s="281" t="s">
        <v>199</v>
      </c>
      <c r="DK33" s="282"/>
      <c r="DL33" s="282"/>
      <c r="DM33" s="282"/>
      <c r="DN33" s="282"/>
      <c r="DO33" s="283"/>
      <c r="DP33" s="284" t="s">
        <v>150</v>
      </c>
      <c r="DQ33" s="285"/>
      <c r="DR33" s="285"/>
      <c r="DS33" s="285"/>
      <c r="DT33" s="285"/>
      <c r="DU33" s="285"/>
      <c r="DV33" s="285"/>
      <c r="DW33" s="285"/>
      <c r="DX33" s="286"/>
    </row>
    <row r="34" spans="3:130" ht="14.4" customHeight="1" x14ac:dyDescent="0.3">
      <c r="C34" s="44" t="s">
        <v>43</v>
      </c>
      <c r="D34" s="1">
        <v>0.82299999999999995</v>
      </c>
      <c r="E34" s="1">
        <v>0.40789999999999998</v>
      </c>
      <c r="F34" s="1">
        <v>16</v>
      </c>
      <c r="G34" s="1">
        <v>2.02</v>
      </c>
      <c r="H34" s="1">
        <v>6.0699999999999997E-2</v>
      </c>
      <c r="I34" s="1">
        <v>0.1</v>
      </c>
      <c r="J34" s="1">
        <v>0.1109</v>
      </c>
      <c r="K34" s="1">
        <v>1.5349999999999999</v>
      </c>
      <c r="L34" s="1">
        <v>2.2772999999999999</v>
      </c>
      <c r="M34" s="1">
        <v>1.1173</v>
      </c>
      <c r="N34" s="1">
        <v>4.6414999999999997</v>
      </c>
      <c r="P34" s="5"/>
      <c r="Q34" s="27" t="str">
        <f>C34</f>
        <v>Mean @ -1SD MTPf</v>
      </c>
      <c r="R34" s="4">
        <f>L34/(1+L34)</f>
        <v>0.69487077777438744</v>
      </c>
      <c r="S34" s="4"/>
      <c r="T34" s="4"/>
      <c r="U34" s="26" t="str">
        <f>IF(ISBLANK(C33),"",C33)</f>
        <v/>
      </c>
      <c r="V34" s="4"/>
      <c r="W34" s="5"/>
      <c r="X34" s="59" t="s">
        <v>195</v>
      </c>
      <c r="Y34" s="8"/>
      <c r="Z34" s="5"/>
      <c r="AA34" s="5"/>
      <c r="AC34" s="5"/>
      <c r="AD34" s="5"/>
      <c r="AE34" s="8" t="s">
        <v>191</v>
      </c>
      <c r="AF34" s="4"/>
      <c r="AG34" s="4"/>
      <c r="AH34" s="4"/>
      <c r="AI34" s="4" t="s">
        <v>75</v>
      </c>
      <c r="AJ34" s="5"/>
      <c r="AK34" s="55"/>
      <c r="AL34" s="55"/>
      <c r="AM34" s="59" t="s">
        <v>193</v>
      </c>
      <c r="AN34" s="55"/>
      <c r="AO34" s="55"/>
      <c r="AQ34" s="5"/>
      <c r="AR34" s="5"/>
      <c r="AS34" s="8" t="s">
        <v>184</v>
      </c>
      <c r="AT34" s="8"/>
      <c r="AU34" s="5"/>
      <c r="AV34" s="5"/>
      <c r="AY34" s="269" t="s">
        <v>175</v>
      </c>
      <c r="AZ34" s="271" t="s">
        <v>152</v>
      </c>
      <c r="BA34" s="273" t="s">
        <v>153</v>
      </c>
      <c r="BB34" s="274"/>
      <c r="BC34" s="275"/>
      <c r="BD34" s="306" t="s">
        <v>154</v>
      </c>
      <c r="BE34" s="307"/>
      <c r="BF34" s="106" t="s">
        <v>171</v>
      </c>
      <c r="BG34" s="107" t="s">
        <v>172</v>
      </c>
      <c r="BH34" s="273" t="str">
        <f>"Effect &amp; re-estimated "&amp;BE36&amp;"% confidence limits"</f>
        <v>Effect &amp; re-estimated 90% confidence limits</v>
      </c>
      <c r="BI34" s="274"/>
      <c r="BJ34" s="274"/>
      <c r="BK34" s="275"/>
      <c r="BL34" s="277" t="s">
        <v>155</v>
      </c>
      <c r="BM34" s="278"/>
      <c r="BN34" s="287" t="e">
        <f>"...beneficial or
substantially "&amp;BF35</f>
        <v>#VALUE!</v>
      </c>
      <c r="BO34" s="288"/>
      <c r="BP34" s="289"/>
      <c r="BQ34" s="311" t="s">
        <v>156</v>
      </c>
      <c r="BR34" s="293"/>
      <c r="BS34" s="294"/>
      <c r="BT34" s="297" t="e">
        <f>"...harmful or 
substantially "&amp;BG35</f>
        <v>#VALUE!</v>
      </c>
      <c r="BU34" s="298"/>
      <c r="BV34" s="299"/>
      <c r="BW34" s="303" t="s">
        <v>157</v>
      </c>
      <c r="BZ34" s="269" t="s">
        <v>151</v>
      </c>
      <c r="CA34" s="271" t="s">
        <v>152</v>
      </c>
      <c r="CB34" s="273" t="s">
        <v>153</v>
      </c>
      <c r="CC34" s="274"/>
      <c r="CD34" s="275"/>
      <c r="CE34" s="306" t="s">
        <v>154</v>
      </c>
      <c r="CF34" s="307"/>
      <c r="CG34" s="231" t="s">
        <v>171</v>
      </c>
      <c r="CH34" s="232" t="s">
        <v>172</v>
      </c>
      <c r="CI34" s="273" t="str">
        <f>"Effect &amp; re-estimated "&amp;CF36&amp;"% confidence limits"</f>
        <v>Effect &amp; re-estimated 90% confidence limits</v>
      </c>
      <c r="CJ34" s="274"/>
      <c r="CK34" s="274"/>
      <c r="CL34" s="275"/>
      <c r="CM34" s="277" t="s">
        <v>155</v>
      </c>
      <c r="CN34" s="278"/>
      <c r="CO34" s="287" t="e">
        <f>"...beneficial or
substantially "&amp;CG35</f>
        <v>#VALUE!</v>
      </c>
      <c r="CP34" s="288"/>
      <c r="CQ34" s="289"/>
      <c r="CR34" s="311" t="s">
        <v>156</v>
      </c>
      <c r="CS34" s="293"/>
      <c r="CT34" s="294"/>
      <c r="CU34" s="297" t="e">
        <f>"...harmful or 
substantially "&amp;CH35</f>
        <v>#VALUE!</v>
      </c>
      <c r="CV34" s="298"/>
      <c r="CW34" s="299"/>
      <c r="CX34" s="303" t="s">
        <v>157</v>
      </c>
      <c r="DA34" s="269" t="s">
        <v>151</v>
      </c>
      <c r="DB34" s="271" t="s">
        <v>152</v>
      </c>
      <c r="DC34" s="273" t="s">
        <v>153</v>
      </c>
      <c r="DD34" s="274"/>
      <c r="DE34" s="275"/>
      <c r="DF34" s="306" t="s">
        <v>154</v>
      </c>
      <c r="DG34" s="307"/>
      <c r="DH34" s="231" t="s">
        <v>171</v>
      </c>
      <c r="DI34" s="232" t="s">
        <v>172</v>
      </c>
      <c r="DJ34" s="273" t="str">
        <f>"Effect &amp; re-estimated "&amp;DG36&amp;"% confidence limits"</f>
        <v>Effect &amp; re-estimated 90% confidence limits</v>
      </c>
      <c r="DK34" s="274"/>
      <c r="DL34" s="274"/>
      <c r="DM34" s="275"/>
      <c r="DN34" s="277" t="s">
        <v>155</v>
      </c>
      <c r="DO34" s="278"/>
      <c r="DP34" s="287" t="e">
        <f>"...beneficial or
substantially "&amp;DH35</f>
        <v>#VALUE!</v>
      </c>
      <c r="DQ34" s="288"/>
      <c r="DR34" s="289"/>
      <c r="DS34" s="311" t="s">
        <v>156</v>
      </c>
      <c r="DT34" s="293"/>
      <c r="DU34" s="294"/>
      <c r="DV34" s="297" t="e">
        <f>"...harmful or 
substantially "&amp;DI35</f>
        <v>#VALUE!</v>
      </c>
      <c r="DW34" s="298"/>
      <c r="DX34" s="299"/>
      <c r="DY34" s="303" t="s">
        <v>157</v>
      </c>
    </row>
    <row r="35" spans="3:130" ht="14.4" customHeight="1" x14ac:dyDescent="0.3">
      <c r="C35" s="44" t="s">
        <v>44</v>
      </c>
      <c r="D35" s="1">
        <v>1.0411999999999999</v>
      </c>
      <c r="E35" s="1">
        <v>0.3599</v>
      </c>
      <c r="F35" s="1">
        <v>16</v>
      </c>
      <c r="G35" s="1">
        <v>2.89</v>
      </c>
      <c r="H35" s="1">
        <v>1.06E-2</v>
      </c>
      <c r="I35" s="1">
        <v>0.1</v>
      </c>
      <c r="J35" s="1">
        <v>0.41289999999999999</v>
      </c>
      <c r="K35" s="1">
        <v>1.6695</v>
      </c>
      <c r="L35" s="1">
        <v>2.8325</v>
      </c>
      <c r="M35" s="1">
        <v>1.5112000000000001</v>
      </c>
      <c r="N35" s="1">
        <v>5.3093000000000004</v>
      </c>
      <c r="P35" s="5"/>
      <c r="Q35" s="27" t="str">
        <f>C35</f>
        <v>Mean @ +1SD MTPf</v>
      </c>
      <c r="R35" s="4">
        <f>L35/(1+L35)</f>
        <v>0.73907371167645142</v>
      </c>
      <c r="S35" s="4"/>
      <c r="T35" s="4"/>
      <c r="U35" s="14"/>
      <c r="V35" s="60" t="s">
        <v>2</v>
      </c>
      <c r="W35" s="60" t="s">
        <v>12</v>
      </c>
      <c r="X35" s="60" t="s">
        <v>13</v>
      </c>
      <c r="Y35" s="77" t="s">
        <v>141</v>
      </c>
      <c r="Z35" s="60" t="s">
        <v>61</v>
      </c>
      <c r="AA35" s="60" t="s">
        <v>60</v>
      </c>
      <c r="AC35" s="60" t="s">
        <v>2</v>
      </c>
      <c r="AD35" s="60" t="s">
        <v>12</v>
      </c>
      <c r="AE35" s="60" t="s">
        <v>13</v>
      </c>
      <c r="AF35" s="60" t="s">
        <v>61</v>
      </c>
      <c r="AG35" s="60" t="s">
        <v>60</v>
      </c>
      <c r="AH35" s="60"/>
      <c r="AI35" s="61" t="s">
        <v>83</v>
      </c>
      <c r="AJ35" s="5"/>
      <c r="AK35" s="60" t="s">
        <v>2</v>
      </c>
      <c r="AL35" s="60" t="s">
        <v>12</v>
      </c>
      <c r="AM35" s="60" t="s">
        <v>13</v>
      </c>
      <c r="AN35" s="62" t="s">
        <v>61</v>
      </c>
      <c r="AO35" s="62" t="s">
        <v>60</v>
      </c>
      <c r="AQ35" s="60" t="s">
        <v>2</v>
      </c>
      <c r="AR35" s="60" t="s">
        <v>12</v>
      </c>
      <c r="AS35" s="60" t="s">
        <v>13</v>
      </c>
      <c r="AT35" s="60" t="s">
        <v>139</v>
      </c>
      <c r="AU35" s="62" t="s">
        <v>61</v>
      </c>
      <c r="AV35" s="62" t="s">
        <v>60</v>
      </c>
      <c r="AY35" s="270"/>
      <c r="AZ35" s="305"/>
      <c r="BA35" s="87" t="s">
        <v>158</v>
      </c>
      <c r="BB35" s="88" t="s">
        <v>159</v>
      </c>
      <c r="BC35" s="93" t="s">
        <v>168</v>
      </c>
      <c r="BD35" s="89" t="s">
        <v>160</v>
      </c>
      <c r="BE35" s="90" t="s">
        <v>161</v>
      </c>
      <c r="BF35" s="91" t="e">
        <f>IF(BF36&lt;1,"decr.","incr.")</f>
        <v>#VALUE!</v>
      </c>
      <c r="BG35" s="92" t="e">
        <f>IF(BG36&gt;1,"incr.","decr.")</f>
        <v>#VALUE!</v>
      </c>
      <c r="BH35" s="83" t="s">
        <v>17</v>
      </c>
      <c r="BI35" s="90" t="s">
        <v>162</v>
      </c>
      <c r="BJ35" s="90" t="s">
        <v>163</v>
      </c>
      <c r="BK35" s="93" t="s">
        <v>168</v>
      </c>
      <c r="BL35" s="94" t="s">
        <v>164</v>
      </c>
      <c r="BM35" s="95" t="s">
        <v>165</v>
      </c>
      <c r="BN35" s="308"/>
      <c r="BO35" s="309"/>
      <c r="BP35" s="310"/>
      <c r="BQ35" s="312"/>
      <c r="BR35" s="313"/>
      <c r="BS35" s="314"/>
      <c r="BT35" s="315"/>
      <c r="BU35" s="316"/>
      <c r="BV35" s="317"/>
      <c r="BW35" s="304"/>
      <c r="BX35" s="97" t="s">
        <v>167</v>
      </c>
      <c r="BZ35" s="270"/>
      <c r="CA35" s="305"/>
      <c r="CB35" s="87" t="s">
        <v>158</v>
      </c>
      <c r="CC35" s="88" t="s">
        <v>159</v>
      </c>
      <c r="CD35" s="93" t="s">
        <v>138</v>
      </c>
      <c r="CE35" s="89" t="s">
        <v>160</v>
      </c>
      <c r="CF35" s="90" t="s">
        <v>161</v>
      </c>
      <c r="CG35" s="217" t="e">
        <f>IF(CG36&lt;0,"decr.","incr.")</f>
        <v>#VALUE!</v>
      </c>
      <c r="CH35" s="218" t="e">
        <f>IF(CH36&gt;0,"incr.","decr.")</f>
        <v>#VALUE!</v>
      </c>
      <c r="CI35" s="83" t="s">
        <v>17</v>
      </c>
      <c r="CJ35" s="90" t="s">
        <v>162</v>
      </c>
      <c r="CK35" s="90" t="s">
        <v>163</v>
      </c>
      <c r="CL35" s="93" t="s">
        <v>138</v>
      </c>
      <c r="CM35" s="94" t="s">
        <v>164</v>
      </c>
      <c r="CN35" s="95" t="s">
        <v>165</v>
      </c>
      <c r="CO35" s="308"/>
      <c r="CP35" s="309"/>
      <c r="CQ35" s="310"/>
      <c r="CR35" s="312"/>
      <c r="CS35" s="313"/>
      <c r="CT35" s="314"/>
      <c r="CU35" s="315"/>
      <c r="CV35" s="316"/>
      <c r="CW35" s="317"/>
      <c r="CX35" s="304"/>
      <c r="CY35" s="96" t="s">
        <v>167</v>
      </c>
      <c r="DA35" s="270"/>
      <c r="DB35" s="305"/>
      <c r="DC35" s="87" t="s">
        <v>158</v>
      </c>
      <c r="DD35" s="88" t="s">
        <v>159</v>
      </c>
      <c r="DE35" s="93" t="s">
        <v>138</v>
      </c>
      <c r="DF35" s="89" t="s">
        <v>160</v>
      </c>
      <c r="DG35" s="90" t="s">
        <v>161</v>
      </c>
      <c r="DH35" s="217" t="e">
        <f>IF(DH36&lt;0,"decr.","incr.")</f>
        <v>#VALUE!</v>
      </c>
      <c r="DI35" s="218" t="e">
        <f>IF(DI36&gt;0,"incr.","decr.")</f>
        <v>#VALUE!</v>
      </c>
      <c r="DJ35" s="83" t="s">
        <v>17</v>
      </c>
      <c r="DK35" s="90" t="s">
        <v>162</v>
      </c>
      <c r="DL35" s="90" t="s">
        <v>163</v>
      </c>
      <c r="DM35" s="93" t="s">
        <v>138</v>
      </c>
      <c r="DN35" s="94" t="s">
        <v>164</v>
      </c>
      <c r="DO35" s="95" t="s">
        <v>165</v>
      </c>
      <c r="DP35" s="308"/>
      <c r="DQ35" s="309"/>
      <c r="DR35" s="310"/>
      <c r="DS35" s="312"/>
      <c r="DT35" s="313"/>
      <c r="DU35" s="314"/>
      <c r="DV35" s="315"/>
      <c r="DW35" s="316"/>
      <c r="DX35" s="317"/>
      <c r="DY35" s="304"/>
      <c r="DZ35" s="96" t="s">
        <v>167</v>
      </c>
    </row>
    <row r="36" spans="3:130" x14ac:dyDescent="0.3">
      <c r="C36" s="44" t="s">
        <v>81</v>
      </c>
      <c r="D36" s="12">
        <v>0.21820000000000001</v>
      </c>
      <c r="E36" s="1">
        <v>0.55269999999999997</v>
      </c>
      <c r="F36" s="1">
        <v>16</v>
      </c>
      <c r="G36" s="12">
        <v>0.39</v>
      </c>
      <c r="H36" s="1">
        <v>0.69820000000000004</v>
      </c>
      <c r="I36" s="1">
        <v>0.1</v>
      </c>
      <c r="J36" s="12">
        <v>-0.74680000000000002</v>
      </c>
      <c r="K36" s="1">
        <v>1.1832</v>
      </c>
      <c r="L36" s="1">
        <v>1.2438</v>
      </c>
      <c r="M36" s="1">
        <v>0.47389999999999999</v>
      </c>
      <c r="N36" s="1">
        <v>3.2646999999999999</v>
      </c>
      <c r="P36" s="5"/>
      <c r="R36" s="5"/>
      <c r="S36" s="5"/>
      <c r="T36" s="5"/>
      <c r="U36" s="26" t="str">
        <f>C36</f>
        <v>MTPf +1SD/-1SD</v>
      </c>
      <c r="V36" s="48">
        <f>L34*L36/(1+L34*L36)/R34</f>
        <v>1.0636137338179172</v>
      </c>
      <c r="W36" s="48">
        <f>EXP(LN(V36)-_xlfn.T.INV.2T(I36,F36)*ABS(LN(V36))/ABS(G36))</f>
        <v>0.80701629117988394</v>
      </c>
      <c r="X36" s="48">
        <f>EXP(LN(V36)+_xlfn.T.INV.2T(I36,F36)*ABS(LN(V36))/ABS(G36))</f>
        <v>1.4017984359549074</v>
      </c>
      <c r="Y36" s="48">
        <f>SQRT(X36/W36)</f>
        <v>1.3179581942055714</v>
      </c>
      <c r="Z36" s="4">
        <f>$V$26</f>
        <v>0.9</v>
      </c>
      <c r="AA36" s="4">
        <f>$V$27</f>
        <v>1.1111111111111112</v>
      </c>
      <c r="AC36" s="4">
        <f>D36</f>
        <v>0.21820000000000001</v>
      </c>
      <c r="AD36" s="4">
        <f>J36</f>
        <v>-0.74680000000000002</v>
      </c>
      <c r="AE36" s="4">
        <f>K36</f>
        <v>1.1832</v>
      </c>
      <c r="AF36" s="4">
        <f>LN(Z36*R34/(1-Z36*R34)/L34)</f>
        <v>-0.31052745150104877</v>
      </c>
      <c r="AG36" s="4">
        <f>LN(AA36*R34/(1-AA36*R34)/L34)</f>
        <v>0.39709523343896819</v>
      </c>
      <c r="AH36" s="4"/>
      <c r="AI36" s="4">
        <f>SQRT($D$11+$D$13*(1/($H$4*$R34)+1/($H$4*(1-$R34))))</f>
        <v>1.2130370720931782</v>
      </c>
      <c r="AJ36" s="5"/>
      <c r="AK36" s="4">
        <f>AC36/AI36</f>
        <v>0.17987908615478751</v>
      </c>
      <c r="AL36" s="4">
        <f>AD36/AI36</f>
        <v>-0.61564482832445155</v>
      </c>
      <c r="AM36" s="4">
        <f>AE36/AI36</f>
        <v>0.97540300063402652</v>
      </c>
      <c r="AN36" s="143">
        <f>$AK$26</f>
        <v>-0.2</v>
      </c>
      <c r="AO36" s="143">
        <f>$AK$27</f>
        <v>0.2</v>
      </c>
      <c r="AQ36" s="50">
        <f>10*(2*SQRT(L36)/(1+SQRT(L36))-1)</f>
        <v>0.54488779930546904</v>
      </c>
      <c r="AR36" s="50">
        <f>10*(2*SQRT(M36)/(1+SQRT(M36))-1)</f>
        <v>-1.8455065128367731</v>
      </c>
      <c r="AS36" s="50">
        <f>10*(2*SQRT(N36)/(1+SQRT(N36))-1)</f>
        <v>2.8745698381918872</v>
      </c>
      <c r="AT36" s="50">
        <f>(AS36-AR36)/2</f>
        <v>2.36003817551433</v>
      </c>
      <c r="AU36" s="10">
        <f>$AQ$26</f>
        <v>-1</v>
      </c>
      <c r="AV36" s="10">
        <f>$AQ$27</f>
        <v>1</v>
      </c>
      <c r="AW36" s="6" t="str">
        <f>U36</f>
        <v>MTPf +1SD/-1SD</v>
      </c>
      <c r="AY36" s="108">
        <f>V36</f>
        <v>1.0636137338179172</v>
      </c>
      <c r="AZ36" s="109">
        <f>F36</f>
        <v>16</v>
      </c>
      <c r="BA36" s="108">
        <f>W36</f>
        <v>0.80701629117988394</v>
      </c>
      <c r="BB36" s="108">
        <f>X36</f>
        <v>1.4017984359549074</v>
      </c>
      <c r="BC36" s="108">
        <f>SQRT(BB36/BA36)</f>
        <v>1.3179581942055714</v>
      </c>
      <c r="BD36" s="110">
        <f>100*(1-I36)</f>
        <v>90</v>
      </c>
      <c r="BE36" s="102">
        <f>100-2*$BC$7</f>
        <v>90</v>
      </c>
      <c r="BF36" s="108" t="e">
        <f>$P$5*Z36+$Q$5*AA36</f>
        <v>#VALUE!</v>
      </c>
      <c r="BG36" s="108" t="e">
        <f>$Q$5*Z36+$P$5*AA36</f>
        <v>#VALUE!</v>
      </c>
      <c r="BH36" s="103">
        <f>AY36</f>
        <v>1.0636137338179172</v>
      </c>
      <c r="BI36" s="103">
        <f>EXP(LN(AY36)-TINV((100-BE36)/100,AZ36)*BX36)</f>
        <v>0.80701629117988394</v>
      </c>
      <c r="BJ36" s="103">
        <f>EXP(LN(AY36)+TINV((100-BE36)/100,AZ36)*BX36)</f>
        <v>1.4017984359549074</v>
      </c>
      <c r="BK36" s="103">
        <f>SQRT(BJ36/BI36)</f>
        <v>1.3179581942055714</v>
      </c>
      <c r="BL36" s="118" t="e">
        <f>IF(BN36&lt;$BE$7,IF(MAX(BQ36,BT36)=BQ36,BS36&amp;" trivial; don't use",BV36&amp;" harmful; don't use"),IF(BT36&lt;$BA$7,BP36&amp;" beneficial; use","unclear; don't use"))</f>
        <v>#VALUE!</v>
      </c>
      <c r="BM36" s="118" t="e">
        <f>IF(MIN(BN36,BT36)&gt;$BC$7,"unclear",IF(MAX(BN36,BQ36,BT36)=BN36,BP36&amp;" "&amp;BF35,IF(MAX(BN36,BQ36,BT36)=BQ36,BS36&amp;" trivial",BV36&amp;" "&amp;BG35)))</f>
        <v>#VALUE!</v>
      </c>
      <c r="BN36" s="98" t="e">
        <f>100*IF(LN(BF36)&gt;0,IF(LN(AY36)-LN(BF36)&gt;0,1-TDIST((LN(AY36)-LN(BF36))/BX36,AZ36,1),TDIST((LN(BF36)-LN(AY36))/BX36,AZ36,1)),IF(LN(AY36)-LN(BF36)&gt;0,TDIST((LN(AY36)-LN(BF36))/BX36,AZ36,1),1-TDIST((LN(BF36)-LN(AY36))/BX36,AZ36,1)))</f>
        <v>#VALUE!</v>
      </c>
      <c r="BO36" s="99" t="s">
        <v>166</v>
      </c>
      <c r="BP36" s="100" t="e">
        <f>IF(BN36&lt;$BA$7,$AZ$7,IF(BN36&lt;$BC$7,$BB$7,IF(BN36&lt;$BE$7,$BD$7,IF(BN36&lt;$BG$7,$BF$7,IF(BN36&lt;$BI$7,$BH$7,IF(BN36&lt;$BK$7,$BJ$7,$BL$7))))))</f>
        <v>#VALUE!</v>
      </c>
      <c r="BQ36" s="101" t="e">
        <f>100-BN36-BT36</f>
        <v>#VALUE!</v>
      </c>
      <c r="BR36" s="99" t="s">
        <v>166</v>
      </c>
      <c r="BS36" s="100" t="e">
        <f>IF(BQ36&lt;$BA$7,$AZ$7,IF(BQ36&lt;$BC$7,$BB$7,IF(BQ36&lt;$BE$7,$BD$7,IF(BQ36&lt;$BG$7,$BF$7,IF(BQ36&lt;$BI$7,$BH$7,IF(BQ36&lt;$BK$7,$BJ$7,$BL$7))))))</f>
        <v>#VALUE!</v>
      </c>
      <c r="BT36" s="98" t="e">
        <f>100*IF(LN(BG36)&gt;0,IF(LN(AY36)-LN(BG36)&gt;0,1-TDIST((LN(AY36)-LN(BG36))/BX36,AZ36,1),TDIST((LN(BG36)-LN(AY36))/BX36,AZ36,1)),IF(LN(AY36)-LN(BG36)&gt;0,TDIST((LN(AY36)-LN(BG36))/BX36,AZ36,1),1-TDIST((LN(BG36)-LN(AY36))/BX36,AZ36,1)))</f>
        <v>#VALUE!</v>
      </c>
      <c r="BU36" s="99" t="s">
        <v>166</v>
      </c>
      <c r="BV36" s="100" t="e">
        <f>IF(BT36&lt;$BA$7,$AZ$7,IF(BT36&lt;$BC$7,$BB$7,IF(BT36&lt;$BE$7,$BD$7,IF(BT36&lt;$BG$7,$BF$7,IF(BT36&lt;$BI$7,$BH$7,IF(BT36&lt;$BK$7,$BJ$7,$BL$7))))))</f>
        <v>#VALUE!</v>
      </c>
      <c r="BW36" s="115" t="e">
        <f>BN36/(100-BN36)/(BT36/(100-BT36))</f>
        <v>#VALUE!</v>
      </c>
      <c r="BX36" s="105">
        <f>(LN(BB36)-LN(BA36))/2/TINV(1-BD36/100,AZ36)</f>
        <v>0.15813408431107726</v>
      </c>
      <c r="BY36" s="24" t="str">
        <f>U36</f>
        <v>MTPf +1SD/-1SD</v>
      </c>
      <c r="BZ36" s="111">
        <f>AK36</f>
        <v>0.17987908615478751</v>
      </c>
      <c r="CA36" s="109">
        <f>F36</f>
        <v>16</v>
      </c>
      <c r="CB36" s="111">
        <f>AL36</f>
        <v>-0.61564482832445155</v>
      </c>
      <c r="CC36" s="111">
        <f>AM36</f>
        <v>0.97540300063402652</v>
      </c>
      <c r="CD36" s="111">
        <f>(CC36-CB36)/2</f>
        <v>0.79552391447923898</v>
      </c>
      <c r="CE36" s="109">
        <f>100*(1-I36)</f>
        <v>90</v>
      </c>
      <c r="CF36" s="102">
        <f>100-2*$BC$7</f>
        <v>90</v>
      </c>
      <c r="CG36" s="233" t="e">
        <f>$P$5*AN36+$Q$5*AO36</f>
        <v>#VALUE!</v>
      </c>
      <c r="CH36" s="233" t="e">
        <f>$Q$5*AN36+$P$5*AO36</f>
        <v>#VALUE!</v>
      </c>
      <c r="CI36" s="117">
        <f>BZ36</f>
        <v>0.17987908615478751</v>
      </c>
      <c r="CJ36" s="117">
        <f>BZ36-TINV((100-CF36)/100,CA36)*CY36</f>
        <v>-0.61564482832445144</v>
      </c>
      <c r="CK36" s="117">
        <f>BZ36+TINV((100-CF36)/100,CA36)*CY36</f>
        <v>0.97540300063402652</v>
      </c>
      <c r="CL36" s="117">
        <f>(CK36-CJ36)/2</f>
        <v>0.79552391447923898</v>
      </c>
      <c r="CM36" s="118" t="e">
        <f>IF(CO36&lt;$BE$7,IF(MAX(CR36,CU36)=CR36,CT36&amp;" trivial; don't use",CW36&amp;" harmful; don't use"),IF(CU36&lt;$BA$7,CQ36&amp;" beneficial; use","unclear; don't use"))</f>
        <v>#VALUE!</v>
      </c>
      <c r="CN36" s="118" t="e">
        <f>IF(MIN(CO36,CU36)&gt;$BC$7,"unclear",IF(MAX(CO36,CR36,CU36)=CO36,CQ36&amp;" "&amp;CG35,IF(MAX(CO36,CR36,CU36)=CR36,CT36&amp;" trivial",CW36&amp;" "&amp;CH35)))</f>
        <v>#VALUE!</v>
      </c>
      <c r="CO36" s="112" t="e">
        <f>100*IF(CG36&gt;0,IF(BZ36-CG36&gt;0,1-TDIST((BZ36-CG36)/CY36,CA36,1),TDIST((CG36-BZ36)/CY36,CA36,1)),IF(BZ36-CG36&gt;0,TDIST((BZ36-CG36)/CY36,CA36,1),1-TDIST((CG36-BZ36)/CY36,CA36,1)))</f>
        <v>#VALUE!</v>
      </c>
      <c r="CP36" s="113" t="s">
        <v>166</v>
      </c>
      <c r="CQ36" s="100" t="e">
        <f>IF(CO36&lt;$BA$7,$AZ$7,IF(CO36&lt;$BC$7,$BB$7,IF(CO36&lt;$BE$7,$BD$7,IF(CO36&lt;$BG$7,$BF$7,IF(CO36&lt;$BI$7,$BH$7,IF(CO36&lt;$BK$7,$BJ$7,$BL$7))))))</f>
        <v>#VALUE!</v>
      </c>
      <c r="CR36" s="114" t="e">
        <f>100-CO36-CU36</f>
        <v>#VALUE!</v>
      </c>
      <c r="CS36" s="113" t="s">
        <v>166</v>
      </c>
      <c r="CT36" s="100" t="e">
        <f>IF(CR36&lt;$BA$7,$AZ$7,IF(CR36&lt;$BC$7,$BB$7,IF(CR36&lt;$BE$7,$BD$7,IF(CR36&lt;$BG$7,$BF$7,IF(CR36&lt;$BI$7,$BH$7,IF(CR36&lt;$BK$7,$BJ$7,$BL$7))))))</f>
        <v>#VALUE!</v>
      </c>
      <c r="CU36" s="112" t="e">
        <f>100*IF(CH36&gt;0,IF(BZ36-CH36&gt;0,1-TDIST((BZ36-CH36)/CY36,CA36,1),TDIST((CH36-BZ36)/CY36,CA36,1)),IF(BZ36-CH36&gt;0,TDIST((BZ36-CH36)/CY36,CA36,1),1-TDIST((CH36-BZ36)/CY36,CA36,1)))</f>
        <v>#VALUE!</v>
      </c>
      <c r="CV36" s="113" t="s">
        <v>166</v>
      </c>
      <c r="CW36" s="100" t="e">
        <f>IF(CU36&lt;$BA$7,$AZ$7,IF(CU36&lt;$BC$7,$BB$7,IF(CU36&lt;$BE$7,$BD$7,IF(CU36&lt;$BG$7,$BF$7,IF(CU36&lt;$BI$7,$BH$7,IF(CU36&lt;$BK$7,$BJ$7,$BL$7))))))</f>
        <v>#VALUE!</v>
      </c>
      <c r="CX36" s="115" t="e">
        <f>CO36/(100-CO36)/(CU36/(100-CU36))</f>
        <v>#VALUE!</v>
      </c>
      <c r="CY36" s="105">
        <f>(CC36-CB36)/2/TINV(1-CE36/100,CA36)</f>
        <v>0.45565688326726955</v>
      </c>
      <c r="CZ36" s="24" t="str">
        <f>U36</f>
        <v>MTPf +1SD/-1SD</v>
      </c>
      <c r="DA36" s="116">
        <f>AQ36</f>
        <v>0.54488779930546904</v>
      </c>
      <c r="DB36" s="109">
        <f>F36</f>
        <v>16</v>
      </c>
      <c r="DC36" s="116">
        <f>AR36</f>
        <v>-1.8455065128367731</v>
      </c>
      <c r="DD36" s="116">
        <f>AS36</f>
        <v>2.8745698381918872</v>
      </c>
      <c r="DE36" s="116">
        <f>(DD36-DC36)/2</f>
        <v>2.36003817551433</v>
      </c>
      <c r="DF36" s="109">
        <f>100*(1-I36)</f>
        <v>90</v>
      </c>
      <c r="DG36" s="102">
        <f>100-2*$BC$7</f>
        <v>90</v>
      </c>
      <c r="DH36" s="241" t="e">
        <f>$P$5*AU36+$Q$5*AV36</f>
        <v>#VALUE!</v>
      </c>
      <c r="DI36" s="241" t="e">
        <f>$Q$5*AU36+$P$5*AV36</f>
        <v>#VALUE!</v>
      </c>
      <c r="DJ36" s="104">
        <f>DA36</f>
        <v>0.54488779930546904</v>
      </c>
      <c r="DK36" s="104">
        <f>10*(2*SQRT(EXP(LN(((1+DA36/10)/(1-DA36/10))^2)-TINV((100-DG36)/100,DB36)*DZ36))/(1+SQRT(EXP(LN(((1+DA36/10)/(1-DA36/10))^2)-TINV((100-DG36)/100,DB36)*DZ36)))-1)</f>
        <v>-1.8455868132154762</v>
      </c>
      <c r="DL36" s="104">
        <f>10*(2*SQRT(EXP(LN(((1+DA36/10)/(1-DA36/10))^2)+TINV((100-DG36)/100,DB36)*DZ36))/(1+SQRT(EXP(LN(((1+DA36/10)/(1-DA36/10))^2)+TINV((100-DG36)/100,DB36)*DZ36)))-1)</f>
        <v>2.8744935754374867</v>
      </c>
      <c r="DM36" s="104">
        <f>(DL36-DK36)/2</f>
        <v>2.3600401943264817</v>
      </c>
      <c r="DN36" s="118" t="e">
        <f>IF(DP36&lt;$BE$7,IF(MAX(DS36,DV36)=DS36,DU36&amp;" trivial; don't use",DX36&amp;" harmful; don't use"),IF(DV36&lt;$BA$7,DR36&amp;" beneficial; use","unclear; don't use"))</f>
        <v>#VALUE!</v>
      </c>
      <c r="DO36" s="118" t="e">
        <f>IF(MIN(DP36,DV36)&gt;$BC$7,"unclear",IF(MAX(DP36,DS36,DV36)=DP36,DR36&amp;" "&amp;DH35,IF(MAX(DP36,DS36,DV36)=DS36,DU36&amp;" trivial",DX36&amp;" "&amp;DI35)))</f>
        <v>#VALUE!</v>
      </c>
      <c r="DP36" s="112" t="e">
        <f>100*IF(LN(((1+DH36/10)/(1-DH36/10))^2)&gt;0,IF(LN(((1+DA36/10)/(1-DA36/10))^2)-LN(((1+DH36/10)/(1-DH36/10))^2)&gt;0,1-TDIST((LN(((1+DA36/10)/(1-DA36/10))^2)-LN(((1+DH36/10)/(1-DH36/10))^2))/DZ36,DB36,1),TDIST((LN(((1+DH36/10)/(1-DH36/10))^2)-LN(((1+DA36/10)/(1-DA36/10))^2))/DZ36,DB36,1)),IF(LN(((1+DA36/10)/(1-DA36/10))^2)-LN(((1+DH36/10)/(1-DH36/10))^2)&gt;0,TDIST((LN(((1+DA36/10)/(1-DA36/10))^2)-LN(((1+DH36/10)/(1-DH36/10))^2))/DZ36,DB36,1),1-TDIST((LN(((1+DH36/10)/(1-DH36/10))^2)-LN(((1+DA36/10)/(1-DA36/10))^2))/DZ36,DB36,1)))</f>
        <v>#VALUE!</v>
      </c>
      <c r="DQ36" s="113" t="s">
        <v>166</v>
      </c>
      <c r="DR36" s="100" t="e">
        <f>IF(DP36&lt;$BA$7,$AZ$7,IF(DP36&lt;$BC$7,$BB$7,IF(DP36&lt;$BE$7,$BD$7,IF(DP36&lt;$BG$7,$BF$7,IF(DP36&lt;$BI$7,$BH$7,IF(DP36&lt;$BK$7,$BJ$7,$BL$7))))))</f>
        <v>#VALUE!</v>
      </c>
      <c r="DS36" s="114" t="e">
        <f>100-DP36-DV36</f>
        <v>#VALUE!</v>
      </c>
      <c r="DT36" s="113" t="s">
        <v>166</v>
      </c>
      <c r="DU36" s="100" t="e">
        <f>IF(DS36&lt;$BA$7,$AZ$7,IF(DS36&lt;$BC$7,$BB$7,IF(DS36&lt;$BE$7,$BD$7,IF(DS36&lt;$BG$7,$BF$7,IF(DS36&lt;$BI$7,$BH$7,IF(DS36&lt;$BK$7,$BJ$7,$BL$7))))))</f>
        <v>#VALUE!</v>
      </c>
      <c r="DV36" s="112" t="e">
        <f>100*IF(LN(((1+DI36/10)/(1-DI36/10))^2)&gt;0,IF(LN(((1+DA36/10)/(1-DA36/10))^2)-LN(((1+DI36/10)/(1-DI36/10))^2)&gt;0,1-TDIST((LN(((1+DA36/10)/(1-DA36/10))^2)-LN(((1+DI36/10)/(1-DI36/10))^2))/DZ36,DB36,1),TDIST((LN(((1+DI36/10)/(1-DI36/10))^2)-LN(((1+DA36/10)/(1-DA36/10))^2))/DZ36,DB36,1)),IF(LN(((1+DA36/10)/(1-DA36/10))^2)-LN(((1+DI36/10)/(1-DI36/10))^2)&gt;0,TDIST((LN(((1+DA36/10)/(1-DA36/10))^2)-LN(((1+DI36/10)/(1-DI36/10))^2))/DZ36,DB36,1),1-TDIST((LN(((1+DI36/10)/(1-DI36/10))^2)-LN(((1+DA36/10)/(1-DA36/10))^2))/DZ36,DB36,1)))</f>
        <v>#VALUE!</v>
      </c>
      <c r="DW36" s="113" t="s">
        <v>166</v>
      </c>
      <c r="DX36" s="100" t="e">
        <f>IF(DV36&lt;$BA$7,$AZ$7,IF(DV36&lt;$BC$7,$BB$7,IF(DV36&lt;$BE$7,$BD$7,IF(DV36&lt;$BG$7,$BF$7,IF(DV36&lt;$BI$7,$BH$7,IF(DV36&lt;$BK$7,$BJ$7,$BL$7))))))</f>
        <v>#VALUE!</v>
      </c>
      <c r="DY36" s="115" t="e">
        <f>DP36/(100-DP36)/(DV36/(100-DV36))</f>
        <v>#VALUE!</v>
      </c>
      <c r="DZ36" s="105">
        <f>(LN(((1+DD36/10)/(1-DD36/10))^2)-LN(((1+DC36/10)/(1-DC36/10))^2))/2/TINV(1-DF36/100,DB36)</f>
        <v>0.55270773509310556</v>
      </c>
    </row>
    <row r="37" spans="3:130" x14ac:dyDescent="0.3">
      <c r="C37" s="45" t="s">
        <v>252</v>
      </c>
      <c r="D37" s="12"/>
      <c r="E37" s="1"/>
      <c r="F37" s="1"/>
      <c r="G37" s="12"/>
      <c r="H37" s="1"/>
      <c r="I37" s="1"/>
      <c r="J37" s="12"/>
      <c r="K37" s="1"/>
      <c r="L37" s="1"/>
      <c r="M37" s="1"/>
      <c r="N37" s="1"/>
      <c r="Q37" s="40"/>
      <c r="V37" s="4"/>
      <c r="Z37" s="35"/>
      <c r="AA37" s="37"/>
      <c r="AC37" s="14"/>
      <c r="AD37" s="14"/>
      <c r="AE37" s="14"/>
      <c r="AF37" s="34"/>
      <c r="AG37" s="34"/>
      <c r="AH37" s="34"/>
      <c r="AI37" s="34"/>
      <c r="AJ37" s="42"/>
      <c r="AK37" s="34"/>
      <c r="AL37" s="34"/>
      <c r="AM37" s="34"/>
      <c r="AN37" s="35"/>
      <c r="AO37" s="37"/>
      <c r="AQ37" s="10"/>
      <c r="AR37" s="10"/>
      <c r="AS37" s="10"/>
      <c r="AT37" s="50"/>
      <c r="AU37" s="38"/>
      <c r="AV37" s="39"/>
    </row>
    <row r="38" spans="3:130" ht="15.65" customHeight="1" x14ac:dyDescent="0.3">
      <c r="C38" s="177" t="s">
        <v>257</v>
      </c>
      <c r="D38" s="12"/>
      <c r="E38" s="1"/>
      <c r="F38" s="1"/>
      <c r="G38" s="12"/>
      <c r="H38" s="1"/>
      <c r="I38" s="1"/>
      <c r="J38" s="12"/>
      <c r="K38" s="1"/>
      <c r="L38" s="1"/>
      <c r="M38" s="1"/>
      <c r="N38" s="1"/>
      <c r="Q38" s="40"/>
      <c r="V38" s="4"/>
      <c r="W38" s="4"/>
      <c r="X38" s="4"/>
      <c r="Y38" s="4"/>
      <c r="Z38" s="35"/>
      <c r="AA38" s="37"/>
      <c r="AC38" s="14"/>
      <c r="AD38" s="14"/>
      <c r="AE38" s="14"/>
      <c r="AF38" s="34"/>
      <c r="AG38" s="34"/>
      <c r="AH38" s="34"/>
      <c r="AI38" s="34"/>
      <c r="AJ38" s="42"/>
      <c r="AK38" s="34"/>
      <c r="AL38" s="34"/>
      <c r="AM38" s="34"/>
      <c r="AN38" s="35"/>
      <c r="AO38" s="37"/>
      <c r="AQ38" s="10"/>
      <c r="AR38" s="10"/>
      <c r="AS38" s="10"/>
      <c r="AT38" s="10"/>
      <c r="AU38" s="38"/>
      <c r="AV38" s="39"/>
    </row>
    <row r="39" spans="3:130" x14ac:dyDescent="0.3">
      <c r="W39" s="4"/>
    </row>
    <row r="40" spans="3:130" x14ac:dyDescent="0.3">
      <c r="F40" s="13" t="s">
        <v>89</v>
      </c>
      <c r="W40" s="4"/>
    </row>
    <row r="41" spans="3:130" x14ac:dyDescent="0.3">
      <c r="F41" s="13" t="s">
        <v>202</v>
      </c>
      <c r="J41" s="75"/>
      <c r="K41" s="1"/>
      <c r="L41" s="1"/>
      <c r="M41" s="1"/>
    </row>
    <row r="42" spans="3:130" x14ac:dyDescent="0.3">
      <c r="F42" s="5" t="s">
        <v>203</v>
      </c>
      <c r="J42" s="75"/>
      <c r="K42" s="1"/>
      <c r="L42" s="1"/>
      <c r="M42" s="1"/>
    </row>
    <row r="43" spans="3:130" x14ac:dyDescent="0.3">
      <c r="F43" s="13"/>
      <c r="J43" s="75"/>
      <c r="K43" s="27" t="s">
        <v>77</v>
      </c>
      <c r="L43" s="4">
        <f>D11</f>
        <v>0.34720000000000001</v>
      </c>
      <c r="M43" s="6" t="s">
        <v>78</v>
      </c>
    </row>
    <row r="44" spans="3:130" x14ac:dyDescent="0.3">
      <c r="K44" s="27" t="s">
        <v>76</v>
      </c>
      <c r="L44" s="4">
        <f>D13</f>
        <v>0.83430000000000004</v>
      </c>
      <c r="M44" s="6" t="s">
        <v>79</v>
      </c>
    </row>
    <row r="45" spans="3:130" x14ac:dyDescent="0.3">
      <c r="K45" s="26" t="s">
        <v>90</v>
      </c>
      <c r="L45" s="132">
        <f>R28</f>
        <v>0.7174981637380643</v>
      </c>
      <c r="M45" s="5" t="s">
        <v>246</v>
      </c>
    </row>
    <row r="46" spans="3:130" x14ac:dyDescent="0.3">
      <c r="K46" s="26" t="s">
        <v>104</v>
      </c>
      <c r="L46" s="50">
        <f>100*L45</f>
        <v>71.749816373806425</v>
      </c>
    </row>
    <row r="47" spans="3:130" x14ac:dyDescent="0.3">
      <c r="I47" s="13"/>
      <c r="J47" s="75"/>
      <c r="K47" s="27" t="s">
        <v>73</v>
      </c>
      <c r="L47" s="4">
        <f>L44*(1/(H4*R17)+1/(H4*(1-R17)))</f>
        <v>1.0536762863519564</v>
      </c>
      <c r="M47" s="131" t="s">
        <v>243</v>
      </c>
    </row>
    <row r="48" spans="3:130" ht="15.65" customHeight="1" x14ac:dyDescent="0.3">
      <c r="I48" s="22"/>
      <c r="K48" s="27" t="s">
        <v>66</v>
      </c>
      <c r="L48" s="4">
        <f>SQRT(L43+L47)</f>
        <v>1.1835861972631974</v>
      </c>
      <c r="M48" s="131" t="s">
        <v>241</v>
      </c>
    </row>
    <row r="49" spans="2:18" ht="14.4" customHeight="1" x14ac:dyDescent="0.3">
      <c r="I49" s="22"/>
      <c r="K49" s="27" t="s">
        <v>67</v>
      </c>
      <c r="L49" s="10">
        <f>EXP(L48)</f>
        <v>3.2660659827334548</v>
      </c>
      <c r="M49" s="5"/>
    </row>
    <row r="50" spans="2:18" x14ac:dyDescent="0.3">
      <c r="I50" s="22"/>
      <c r="K50" s="27" t="s">
        <v>68</v>
      </c>
      <c r="L50" s="4">
        <f>L28*SQRT(L49)/(1+L28*SQRT(L49))/(L28/SQRT(L49)/(1+L28/SQRT(L49)))</f>
        <v>1.4053790584774593</v>
      </c>
      <c r="M50" s="5"/>
    </row>
    <row r="51" spans="2:18" x14ac:dyDescent="0.3">
      <c r="K51" s="27" t="s">
        <v>69</v>
      </c>
      <c r="L51" s="11">
        <f>100*L50-100</f>
        <v>40.537905847745918</v>
      </c>
      <c r="M51" s="5"/>
    </row>
    <row r="52" spans="2:18" x14ac:dyDescent="0.3">
      <c r="K52" s="26" t="s">
        <v>70</v>
      </c>
      <c r="L52" s="132">
        <f>(L28*SQRT(L49)/(1+L28*SQRT(L49))-(L28/SQRT(L49)/(1+L28/SQRT(L49))))/2</f>
        <v>0.11842369032699751</v>
      </c>
      <c r="M52" s="5" t="s">
        <v>91</v>
      </c>
    </row>
    <row r="53" spans="2:18" x14ac:dyDescent="0.3">
      <c r="K53" s="26" t="s">
        <v>71</v>
      </c>
      <c r="L53" s="50">
        <f>L52*100</f>
        <v>11.84236903269975</v>
      </c>
      <c r="M53" s="5" t="s">
        <v>92</v>
      </c>
    </row>
    <row r="54" spans="2:18" ht="14.4" customHeight="1" x14ac:dyDescent="0.3"/>
    <row r="55" spans="2:18" x14ac:dyDescent="0.3">
      <c r="B55" s="13" t="s">
        <v>93</v>
      </c>
      <c r="C55" s="3"/>
      <c r="D55" s="4"/>
      <c r="H55" s="4"/>
      <c r="I55" s="4"/>
      <c r="K55" s="3"/>
      <c r="L55" s="3"/>
      <c r="M55" s="4"/>
      <c r="N55" s="4"/>
    </row>
    <row r="56" spans="2:18" x14ac:dyDescent="0.3">
      <c r="B56" s="45" t="s">
        <v>94</v>
      </c>
      <c r="C56" s="3"/>
      <c r="D56" s="4"/>
      <c r="H56" s="4"/>
      <c r="I56" s="4"/>
      <c r="K56" s="3"/>
      <c r="L56" s="3"/>
      <c r="M56" s="7" t="s">
        <v>88</v>
      </c>
      <c r="N56" s="4"/>
      <c r="P56" s="3"/>
      <c r="Q56" s="7" t="s">
        <v>88</v>
      </c>
      <c r="R56" s="4"/>
    </row>
    <row r="57" spans="2:18" x14ac:dyDescent="0.3">
      <c r="B57" s="265" t="s">
        <v>16</v>
      </c>
      <c r="C57" s="265"/>
      <c r="D57" s="265"/>
      <c r="E57" s="265"/>
      <c r="F57" s="265"/>
      <c r="G57" s="265"/>
      <c r="H57" s="265"/>
      <c r="I57" s="265"/>
      <c r="J57" s="265"/>
      <c r="K57" s="265"/>
      <c r="L57" s="5"/>
      <c r="M57" s="8" t="s">
        <v>116</v>
      </c>
      <c r="N57" s="5"/>
      <c r="P57" s="5"/>
      <c r="Q57" s="8" t="s">
        <v>117</v>
      </c>
      <c r="R57" s="5"/>
    </row>
    <row r="58" spans="2:18" ht="30.05" x14ac:dyDescent="0.3">
      <c r="B58" s="75" t="s">
        <v>17</v>
      </c>
      <c r="C58" s="75" t="s">
        <v>1</v>
      </c>
      <c r="D58" s="75" t="s">
        <v>2</v>
      </c>
      <c r="E58" s="75" t="s">
        <v>18</v>
      </c>
      <c r="F58" s="75" t="s">
        <v>19</v>
      </c>
      <c r="G58" s="75" t="s">
        <v>20</v>
      </c>
      <c r="H58" s="75" t="s">
        <v>21</v>
      </c>
      <c r="I58" s="75" t="s">
        <v>22</v>
      </c>
      <c r="J58" s="75" t="s">
        <v>12</v>
      </c>
      <c r="K58" s="75" t="s">
        <v>13</v>
      </c>
      <c r="L58" s="125" t="s">
        <v>2</v>
      </c>
      <c r="M58" s="125" t="s">
        <v>12</v>
      </c>
      <c r="N58" s="125" t="s">
        <v>13</v>
      </c>
      <c r="P58" s="125" t="s">
        <v>2</v>
      </c>
      <c r="Q58" s="125" t="s">
        <v>12</v>
      </c>
      <c r="R58" s="126" t="s">
        <v>13</v>
      </c>
    </row>
    <row r="59" spans="2:18" x14ac:dyDescent="0.3">
      <c r="B59" s="75" t="s">
        <v>7</v>
      </c>
      <c r="C59" s="75" t="s">
        <v>46</v>
      </c>
      <c r="D59" s="12">
        <v>-0.2341</v>
      </c>
      <c r="E59" s="1">
        <v>0.40129999999999999</v>
      </c>
      <c r="F59" s="1">
        <v>16</v>
      </c>
      <c r="G59" s="12">
        <v>-0.57999999999999996</v>
      </c>
      <c r="H59" s="1">
        <v>0.56779999999999997</v>
      </c>
      <c r="I59" s="1">
        <v>0.1</v>
      </c>
      <c r="J59" s="12">
        <v>-0.93479999999999996</v>
      </c>
      <c r="K59" s="1">
        <v>0.46650000000000003</v>
      </c>
      <c r="L59" s="49">
        <f t="shared" ref="L59:L68" si="10">100*_xlfn.T.DIST(D59/$D$17,$F59,1)</f>
        <v>34.820036396705326</v>
      </c>
      <c r="M59" s="11">
        <f t="shared" ref="M59:N68" si="11">100*_xlfn.T.DIST(J59/$D$17,$F59,1)</f>
        <v>6.6099227763055453</v>
      </c>
      <c r="N59" s="11">
        <f t="shared" si="11"/>
        <v>77.99427484708211</v>
      </c>
      <c r="P59" s="49">
        <f>100*_xlfn.T.DIST(D59/$L$48,$F59,1)</f>
        <v>42.285069066964979</v>
      </c>
      <c r="Q59" s="11">
        <f>100*_xlfn.T.DIST(J59/$L$48,$F59,1)</f>
        <v>22.059569647832074</v>
      </c>
      <c r="R59" s="11">
        <f>100*_xlfn.T.DIST(K59/$L$48,$F59,1)</f>
        <v>65.065984639081435</v>
      </c>
    </row>
    <row r="60" spans="2:18" x14ac:dyDescent="0.3">
      <c r="B60" s="75" t="s">
        <v>7</v>
      </c>
      <c r="C60" s="75" t="s">
        <v>47</v>
      </c>
      <c r="D60" s="1">
        <v>0.50609999999999999</v>
      </c>
      <c r="E60" s="1">
        <v>0.44429999999999997</v>
      </c>
      <c r="F60" s="1">
        <v>16</v>
      </c>
      <c r="G60" s="1">
        <v>1.1399999999999999</v>
      </c>
      <c r="H60" s="1">
        <v>0.27150000000000002</v>
      </c>
      <c r="I60" s="1">
        <v>0.1</v>
      </c>
      <c r="J60" s="12">
        <v>-0.2697</v>
      </c>
      <c r="K60" s="1">
        <v>1.2818000000000001</v>
      </c>
      <c r="L60" s="49">
        <f t="shared" si="10"/>
        <v>79.846181339625687</v>
      </c>
      <c r="M60" s="11">
        <f t="shared" si="11"/>
        <v>32.66572986223764</v>
      </c>
      <c r="N60" s="11">
        <f t="shared" si="11"/>
        <v>97.753005102199623</v>
      </c>
      <c r="P60" s="49">
        <f t="shared" ref="P60:P68" si="12">100*_xlfn.T.DIST(D60/$L$48,$F60,1)</f>
        <v>66.26786781640493</v>
      </c>
      <c r="Q60" s="11">
        <f t="shared" ref="Q60:R68" si="13">100*_xlfn.T.DIST(J60/$L$48,$F60,1)</f>
        <v>41.131810996035142</v>
      </c>
      <c r="R60" s="11">
        <f t="shared" si="13"/>
        <v>85.256560976503863</v>
      </c>
    </row>
    <row r="61" spans="2:18" x14ac:dyDescent="0.3">
      <c r="B61" s="75" t="s">
        <v>7</v>
      </c>
      <c r="C61" s="75" t="s">
        <v>48</v>
      </c>
      <c r="D61" s="12">
        <v>-0.33750000000000002</v>
      </c>
      <c r="E61" s="1">
        <v>0.50480000000000003</v>
      </c>
      <c r="F61" s="1">
        <v>16</v>
      </c>
      <c r="G61" s="12">
        <v>-0.67</v>
      </c>
      <c r="H61" s="1">
        <v>0.51329999999999998</v>
      </c>
      <c r="I61" s="1">
        <v>0.1</v>
      </c>
      <c r="J61" s="12">
        <v>-1.2188000000000001</v>
      </c>
      <c r="K61" s="1">
        <v>0.54379999999999995</v>
      </c>
      <c r="L61" s="49">
        <f t="shared" si="10"/>
        <v>28.737940742245378</v>
      </c>
      <c r="M61" s="11">
        <f t="shared" si="11"/>
        <v>2.7579635393451567</v>
      </c>
      <c r="N61" s="11">
        <f t="shared" si="11"/>
        <v>81.511311025158989</v>
      </c>
      <c r="P61" s="49">
        <f t="shared" si="12"/>
        <v>38.959354588511822</v>
      </c>
      <c r="Q61" s="11">
        <f t="shared" si="13"/>
        <v>15.922134439191435</v>
      </c>
      <c r="R61" s="11">
        <f t="shared" si="13"/>
        <v>67.395444922616804</v>
      </c>
    </row>
    <row r="62" spans="2:18" x14ac:dyDescent="0.3">
      <c r="B62" s="75" t="s">
        <v>7</v>
      </c>
      <c r="C62" s="75" t="s">
        <v>49</v>
      </c>
      <c r="D62" s="1">
        <v>0.46039999999999998</v>
      </c>
      <c r="E62" s="1">
        <v>0.51400000000000001</v>
      </c>
      <c r="F62" s="1">
        <v>16</v>
      </c>
      <c r="G62" s="1">
        <v>0.9</v>
      </c>
      <c r="H62" s="1">
        <v>0.3836</v>
      </c>
      <c r="I62" s="1">
        <v>0.1</v>
      </c>
      <c r="J62" s="12">
        <v>-0.43690000000000001</v>
      </c>
      <c r="K62" s="1">
        <v>1.3576999999999999</v>
      </c>
      <c r="L62" s="49">
        <f t="shared" si="10"/>
        <v>77.699744493848016</v>
      </c>
      <c r="M62" s="11">
        <f t="shared" si="11"/>
        <v>23.457713602179691</v>
      </c>
      <c r="N62" s="11">
        <f t="shared" si="11"/>
        <v>98.252106859614173</v>
      </c>
      <c r="P62" s="49">
        <f t="shared" si="12"/>
        <v>64.879324260323216</v>
      </c>
      <c r="Q62" s="11">
        <f t="shared" si="13"/>
        <v>35.843424148696492</v>
      </c>
      <c r="R62" s="11">
        <f t="shared" si="13"/>
        <v>86.589896772607631</v>
      </c>
    </row>
    <row r="63" spans="2:18" x14ac:dyDescent="0.3">
      <c r="B63" s="75" t="s">
        <v>7</v>
      </c>
      <c r="C63" s="75" t="s">
        <v>50</v>
      </c>
      <c r="D63" s="12">
        <v>-0.2944</v>
      </c>
      <c r="E63" s="1">
        <v>0.40970000000000001</v>
      </c>
      <c r="F63" s="1">
        <v>16</v>
      </c>
      <c r="G63" s="12">
        <v>-0.72</v>
      </c>
      <c r="H63" s="1">
        <v>0.48280000000000001</v>
      </c>
      <c r="I63" s="1">
        <v>0.1</v>
      </c>
      <c r="J63" s="12">
        <v>-1.0096000000000001</v>
      </c>
      <c r="K63" s="1">
        <v>0.4209</v>
      </c>
      <c r="L63" s="49">
        <f t="shared" si="10"/>
        <v>31.206839045742228</v>
      </c>
      <c r="M63" s="11">
        <f t="shared" si="11"/>
        <v>5.2971827871348323</v>
      </c>
      <c r="N63" s="11">
        <f t="shared" si="11"/>
        <v>75.733762112896017</v>
      </c>
      <c r="P63" s="49">
        <f t="shared" si="12"/>
        <v>40.33649604981445</v>
      </c>
      <c r="Q63" s="11">
        <f t="shared" si="13"/>
        <v>20.312381695248188</v>
      </c>
      <c r="R63" s="11">
        <f t="shared" si="13"/>
        <v>63.661270877572527</v>
      </c>
    </row>
    <row r="64" spans="2:18" x14ac:dyDescent="0.3">
      <c r="B64" s="75" t="s">
        <v>7</v>
      </c>
      <c r="C64" s="75" t="s">
        <v>51</v>
      </c>
      <c r="D64" s="1">
        <v>0</v>
      </c>
      <c r="E64" s="1">
        <v>0.58919999999999995</v>
      </c>
      <c r="F64" s="1">
        <v>16</v>
      </c>
      <c r="G64" s="1">
        <v>0</v>
      </c>
      <c r="H64" s="1">
        <v>1</v>
      </c>
      <c r="I64" s="1">
        <v>0.1</v>
      </c>
      <c r="J64" s="12">
        <v>-1.0286999999999999</v>
      </c>
      <c r="K64" s="1">
        <v>1.0286999999999999</v>
      </c>
      <c r="L64" s="49">
        <f t="shared" si="10"/>
        <v>50</v>
      </c>
      <c r="M64" s="11">
        <f t="shared" si="11"/>
        <v>5.0005889800220409</v>
      </c>
      <c r="N64" s="11">
        <f t="shared" si="11"/>
        <v>94.99941101997797</v>
      </c>
      <c r="P64" s="49">
        <f t="shared" si="12"/>
        <v>50</v>
      </c>
      <c r="Q64" s="11">
        <f t="shared" si="13"/>
        <v>19.881118763024979</v>
      </c>
      <c r="R64" s="11">
        <f t="shared" si="13"/>
        <v>80.118881236975014</v>
      </c>
    </row>
    <row r="65" spans="2:18" x14ac:dyDescent="0.3">
      <c r="B65" s="75" t="s">
        <v>7</v>
      </c>
      <c r="C65" s="75" t="s">
        <v>52</v>
      </c>
      <c r="D65" s="1">
        <v>0.56579999999999997</v>
      </c>
      <c r="E65" s="1">
        <v>0.4788</v>
      </c>
      <c r="F65" s="1">
        <v>16</v>
      </c>
      <c r="G65" s="1">
        <v>1.18</v>
      </c>
      <c r="H65" s="1">
        <v>0.25459999999999999</v>
      </c>
      <c r="I65" s="1">
        <v>0.1</v>
      </c>
      <c r="J65" s="12">
        <v>-0.2702</v>
      </c>
      <c r="K65" s="1">
        <v>1.4016999999999999</v>
      </c>
      <c r="L65" s="49">
        <f t="shared" si="10"/>
        <v>82.438541715205815</v>
      </c>
      <c r="M65" s="11">
        <f t="shared" si="11"/>
        <v>32.63589675063259</v>
      </c>
      <c r="N65" s="11">
        <f t="shared" si="11"/>
        <v>98.491920424895056</v>
      </c>
      <c r="P65" s="49">
        <f t="shared" si="12"/>
        <v>68.045570844277549</v>
      </c>
      <c r="Q65" s="11">
        <f t="shared" si="13"/>
        <v>41.115670521987418</v>
      </c>
      <c r="R65" s="11">
        <f t="shared" si="13"/>
        <v>87.320171745185576</v>
      </c>
    </row>
    <row r="66" spans="2:18" x14ac:dyDescent="0.3">
      <c r="B66" s="75" t="s">
        <v>7</v>
      </c>
      <c r="C66" s="75" t="s">
        <v>53</v>
      </c>
      <c r="D66" s="12">
        <v>-0.2059</v>
      </c>
      <c r="E66" s="1">
        <v>0.47370000000000001</v>
      </c>
      <c r="F66" s="1">
        <v>16</v>
      </c>
      <c r="G66" s="12">
        <v>-0.43</v>
      </c>
      <c r="H66" s="1">
        <v>0.66959999999999997</v>
      </c>
      <c r="I66" s="1">
        <v>0.1</v>
      </c>
      <c r="J66" s="12">
        <v>-1.0328999999999999</v>
      </c>
      <c r="K66" s="1">
        <v>0.62109999999999999</v>
      </c>
      <c r="L66" s="49">
        <f t="shared" si="10"/>
        <v>36.565972065539697</v>
      </c>
      <c r="M66" s="11">
        <f t="shared" si="11"/>
        <v>4.937347810163172</v>
      </c>
      <c r="N66" s="11">
        <f t="shared" si="11"/>
        <v>84.624661100981072</v>
      </c>
      <c r="P66" s="49">
        <f t="shared" si="12"/>
        <v>43.203834576665159</v>
      </c>
      <c r="Q66" s="11">
        <f t="shared" si="13"/>
        <v>19.787102793585724</v>
      </c>
      <c r="R66" s="11">
        <f t="shared" si="13"/>
        <v>69.652780293182985</v>
      </c>
    </row>
    <row r="67" spans="2:18" x14ac:dyDescent="0.3">
      <c r="B67" s="75" t="s">
        <v>7</v>
      </c>
      <c r="C67" s="75" t="s">
        <v>54</v>
      </c>
      <c r="D67" s="12">
        <v>-0.2361</v>
      </c>
      <c r="E67" s="1">
        <v>0.48120000000000002</v>
      </c>
      <c r="F67" s="1">
        <v>16</v>
      </c>
      <c r="G67" s="12">
        <v>-0.49</v>
      </c>
      <c r="H67" s="1">
        <v>0.63029999999999997</v>
      </c>
      <c r="I67" s="1">
        <v>0.1</v>
      </c>
      <c r="J67" s="12">
        <v>-1.0763</v>
      </c>
      <c r="K67" s="1">
        <v>0.60399999999999998</v>
      </c>
      <c r="L67" s="49">
        <f t="shared" si="10"/>
        <v>34.69748419628457</v>
      </c>
      <c r="M67" s="11">
        <f t="shared" si="11"/>
        <v>4.3238055543448786</v>
      </c>
      <c r="N67" s="11">
        <f t="shared" si="11"/>
        <v>83.970686943462709</v>
      </c>
      <c r="P67" s="49">
        <f t="shared" si="12"/>
        <v>42.220076037432818</v>
      </c>
      <c r="Q67" s="11">
        <f t="shared" si="13"/>
        <v>18.832893784310734</v>
      </c>
      <c r="R67" s="11">
        <f t="shared" si="13"/>
        <v>69.160018774709769</v>
      </c>
    </row>
    <row r="68" spans="2:18" x14ac:dyDescent="0.3">
      <c r="B68" s="75" t="s">
        <v>7</v>
      </c>
      <c r="C68" s="75" t="s">
        <v>55</v>
      </c>
      <c r="D68" s="12">
        <v>-0.22420000000000001</v>
      </c>
      <c r="E68" s="1">
        <v>0.44950000000000001</v>
      </c>
      <c r="F68" s="1">
        <v>16</v>
      </c>
      <c r="G68" s="12">
        <v>-0.5</v>
      </c>
      <c r="H68" s="1">
        <v>0.62470000000000003</v>
      </c>
      <c r="I68" s="1">
        <v>0.1</v>
      </c>
      <c r="J68" s="12">
        <v>-1.0088999999999999</v>
      </c>
      <c r="K68" s="1">
        <v>0.5605</v>
      </c>
      <c r="L68" s="49">
        <f t="shared" si="10"/>
        <v>35.429208505877995</v>
      </c>
      <c r="M68" s="11">
        <f t="shared" si="11"/>
        <v>5.3083373421169986</v>
      </c>
      <c r="N68" s="11">
        <f t="shared" si="11"/>
        <v>82.218163697169075</v>
      </c>
      <c r="P68" s="49">
        <f t="shared" si="12"/>
        <v>42.607120026128555</v>
      </c>
      <c r="Q68" s="11">
        <f t="shared" si="13"/>
        <v>20.328302672915861</v>
      </c>
      <c r="R68" s="11">
        <f t="shared" si="13"/>
        <v>67.889493819771786</v>
      </c>
    </row>
  </sheetData>
  <mergeCells count="143">
    <mergeCell ref="DY34:DY35"/>
    <mergeCell ref="B57:K57"/>
    <mergeCell ref="DB34:DB35"/>
    <mergeCell ref="DC34:DE34"/>
    <mergeCell ref="DF34:DG34"/>
    <mergeCell ref="DJ34:DM34"/>
    <mergeCell ref="DN34:DO34"/>
    <mergeCell ref="DP34:DR35"/>
    <mergeCell ref="CM34:CN34"/>
    <mergeCell ref="CO34:CQ35"/>
    <mergeCell ref="CR34:CT35"/>
    <mergeCell ref="CU34:CW35"/>
    <mergeCell ref="CX34:CX35"/>
    <mergeCell ref="DA34:DA35"/>
    <mergeCell ref="BW34:BW35"/>
    <mergeCell ref="BZ34:BZ35"/>
    <mergeCell ref="CA34:CA35"/>
    <mergeCell ref="CB34:CD34"/>
    <mergeCell ref="CE34:CF34"/>
    <mergeCell ref="CI34:CL34"/>
    <mergeCell ref="DP33:DX33"/>
    <mergeCell ref="AY34:AY35"/>
    <mergeCell ref="AZ34:AZ35"/>
    <mergeCell ref="BA34:BC34"/>
    <mergeCell ref="BD34:BE34"/>
    <mergeCell ref="BH34:BK34"/>
    <mergeCell ref="BL34:BM34"/>
    <mergeCell ref="BN34:BP35"/>
    <mergeCell ref="BQ34:BS35"/>
    <mergeCell ref="BT34:BV35"/>
    <mergeCell ref="CG33:CH33"/>
    <mergeCell ref="CI33:CN33"/>
    <mergeCell ref="CO33:CW33"/>
    <mergeCell ref="DA33:DG33"/>
    <mergeCell ref="DH33:DI33"/>
    <mergeCell ref="DJ33:DO33"/>
    <mergeCell ref="DS34:DU35"/>
    <mergeCell ref="DV34:DX35"/>
    <mergeCell ref="DN30:DO30"/>
    <mergeCell ref="DP30:DR31"/>
    <mergeCell ref="DS30:DU31"/>
    <mergeCell ref="DV30:DX31"/>
    <mergeCell ref="DY30:DY31"/>
    <mergeCell ref="AY33:BE33"/>
    <mergeCell ref="BF33:BG33"/>
    <mergeCell ref="BH33:BM33"/>
    <mergeCell ref="BN33:BV33"/>
    <mergeCell ref="BZ33:CF33"/>
    <mergeCell ref="CX30:CX31"/>
    <mergeCell ref="DA30:DA31"/>
    <mergeCell ref="DB30:DB31"/>
    <mergeCell ref="DC30:DE30"/>
    <mergeCell ref="DF30:DG30"/>
    <mergeCell ref="DJ30:DM30"/>
    <mergeCell ref="CB30:CD30"/>
    <mergeCell ref="CE30:CF30"/>
    <mergeCell ref="CM30:CN30"/>
    <mergeCell ref="CO30:CQ31"/>
    <mergeCell ref="CR30:CT31"/>
    <mergeCell ref="CU30:CW31"/>
    <mergeCell ref="BN30:BP31"/>
    <mergeCell ref="BQ30:BS31"/>
    <mergeCell ref="BT30:BV31"/>
    <mergeCell ref="BW30:BW31"/>
    <mergeCell ref="BZ30:BZ31"/>
    <mergeCell ref="CA30:CA31"/>
    <mergeCell ref="AY30:AY31"/>
    <mergeCell ref="AZ30:AZ31"/>
    <mergeCell ref="BA30:BC30"/>
    <mergeCell ref="BD30:BE30"/>
    <mergeCell ref="BH30:BK30"/>
    <mergeCell ref="BL30:BM30"/>
    <mergeCell ref="CO29:CW29"/>
    <mergeCell ref="DA29:DG29"/>
    <mergeCell ref="DH29:DI29"/>
    <mergeCell ref="DJ29:DO29"/>
    <mergeCell ref="DP29:DX29"/>
    <mergeCell ref="AY29:BE29"/>
    <mergeCell ref="BF29:BG29"/>
    <mergeCell ref="BH29:BM29"/>
    <mergeCell ref="BN29:BV29"/>
    <mergeCell ref="BZ29:CF29"/>
    <mergeCell ref="CG29:CH29"/>
    <mergeCell ref="C26:C27"/>
    <mergeCell ref="D26:D27"/>
    <mergeCell ref="F26:F27"/>
    <mergeCell ref="G26:G27"/>
    <mergeCell ref="H26:H27"/>
    <mergeCell ref="I26:I27"/>
    <mergeCell ref="J26:J27"/>
    <mergeCell ref="K26:K27"/>
    <mergeCell ref="CI29:CN29"/>
    <mergeCell ref="DV15:DX16"/>
    <mergeCell ref="DY15:DY16"/>
    <mergeCell ref="CU15:CW16"/>
    <mergeCell ref="CX15:CX16"/>
    <mergeCell ref="DA15:DA16"/>
    <mergeCell ref="DB15:DB16"/>
    <mergeCell ref="DC15:DE15"/>
    <mergeCell ref="DF15:DG15"/>
    <mergeCell ref="C25:N25"/>
    <mergeCell ref="BQ15:BS16"/>
    <mergeCell ref="BT15:BV16"/>
    <mergeCell ref="BW15:BW16"/>
    <mergeCell ref="BZ15:BZ16"/>
    <mergeCell ref="CA15:CA16"/>
    <mergeCell ref="DJ15:DM15"/>
    <mergeCell ref="DN15:DO15"/>
    <mergeCell ref="DP15:DR16"/>
    <mergeCell ref="DS15:DU16"/>
    <mergeCell ref="DJ14:DO14"/>
    <mergeCell ref="DP14:DX14"/>
    <mergeCell ref="AY14:BE14"/>
    <mergeCell ref="BF14:BG14"/>
    <mergeCell ref="BH14:BM14"/>
    <mergeCell ref="BN14:BV14"/>
    <mergeCell ref="BZ14:CF14"/>
    <mergeCell ref="CG14:CH14"/>
    <mergeCell ref="AY15:AY16"/>
    <mergeCell ref="AZ15:AZ16"/>
    <mergeCell ref="BA15:BC15"/>
    <mergeCell ref="BD15:BE15"/>
    <mergeCell ref="BH15:BK15"/>
    <mergeCell ref="BL15:BM15"/>
    <mergeCell ref="CI14:CN14"/>
    <mergeCell ref="CO14:CW14"/>
    <mergeCell ref="DA14:DG14"/>
    <mergeCell ref="CB15:CD15"/>
    <mergeCell ref="CE15:CF15"/>
    <mergeCell ref="CI15:CL15"/>
    <mergeCell ref="CM15:CN15"/>
    <mergeCell ref="CO15:CQ16"/>
    <mergeCell ref="CR15:CT16"/>
    <mergeCell ref="BN15:BP16"/>
    <mergeCell ref="P3:Q3"/>
    <mergeCell ref="B8:I8"/>
    <mergeCell ref="B9:B10"/>
    <mergeCell ref="C9:C10"/>
    <mergeCell ref="D9:D10"/>
    <mergeCell ref="F9:F10"/>
    <mergeCell ref="G9:G10"/>
    <mergeCell ref="H9:I10"/>
    <mergeCell ref="DH14:DI14"/>
  </mergeCells>
  <pageMargins left="0.7" right="0.7" top="0.75" bottom="0.75" header="0.3" footer="0.3"/>
  <pageSetup paperSize="9" orientation="portrait" horizontalDpi="4294967293"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DZ93"/>
  <sheetViews>
    <sheetView zoomScale="90" zoomScaleNormal="90" workbookViewId="0"/>
  </sheetViews>
  <sheetFormatPr defaultRowHeight="15.05" x14ac:dyDescent="0.3"/>
  <cols>
    <col min="3" max="3" width="12.21875" customWidth="1"/>
    <col min="4" max="4" width="12" customWidth="1"/>
    <col min="5" max="5" width="10.21875" customWidth="1"/>
    <col min="6" max="6" width="10.109375" customWidth="1"/>
    <col min="7" max="8" width="8.88671875" customWidth="1"/>
    <col min="12" max="12" width="13.44140625" customWidth="1"/>
    <col min="13" max="14" width="13.21875" customWidth="1"/>
    <col min="15" max="15" width="2.44140625" customWidth="1"/>
    <col min="19" max="19" width="3.109375" customWidth="1"/>
    <col min="20" max="20" width="6.21875" customWidth="1"/>
    <col min="21" max="21" width="3.44140625" customWidth="1"/>
    <col min="25" max="25" width="10.44140625" customWidth="1"/>
    <col min="28" max="28" width="4.109375" customWidth="1"/>
    <col min="34" max="34" width="1.88671875" customWidth="1"/>
    <col min="36" max="36" width="3.88671875" customWidth="1"/>
    <col min="42" max="42" width="3" customWidth="1"/>
    <col min="64" max="65" width="23.77734375" customWidth="1"/>
    <col min="67" max="67" width="2.33203125" customWidth="1"/>
    <col min="70" max="70" width="2.33203125" customWidth="1"/>
    <col min="73" max="73" width="2.33203125" customWidth="1"/>
    <col min="75" max="75" width="10.33203125" customWidth="1"/>
    <col min="77" max="77" width="17.5546875" customWidth="1"/>
    <col min="91" max="92" width="23.77734375" customWidth="1"/>
    <col min="94" max="94" width="2.5546875" customWidth="1"/>
    <col min="97" max="97" width="2.6640625" customWidth="1"/>
    <col min="100" max="100" width="2.21875" customWidth="1"/>
    <col min="102" max="102" width="10.44140625" customWidth="1"/>
    <col min="104" max="104" width="17.33203125" customWidth="1"/>
    <col min="118" max="119" width="23.77734375" customWidth="1"/>
    <col min="121" max="121" width="2.33203125" customWidth="1"/>
    <col min="124" max="124" width="2.33203125" customWidth="1"/>
    <col min="127" max="127" width="2.44140625" customWidth="1"/>
    <col min="129" max="129" width="11" customWidth="1"/>
  </cols>
  <sheetData>
    <row r="1" spans="2:130" ht="14.4" x14ac:dyDescent="0.3">
      <c r="B1" s="15" t="s">
        <v>136</v>
      </c>
    </row>
    <row r="2" spans="2:130" ht="14.4" x14ac:dyDescent="0.3">
      <c r="B2" s="129" t="s">
        <v>234</v>
      </c>
      <c r="X2" s="7" t="s">
        <v>187</v>
      </c>
      <c r="Y2" s="7"/>
      <c r="AE2" s="7" t="s">
        <v>192</v>
      </c>
      <c r="AM2" s="7" t="s">
        <v>188</v>
      </c>
      <c r="AS2" s="7" t="s">
        <v>189</v>
      </c>
    </row>
    <row r="3" spans="2:130" ht="14.4" x14ac:dyDescent="0.3">
      <c r="B3" s="144" t="s">
        <v>255</v>
      </c>
      <c r="C3" s="144"/>
      <c r="D3" s="144"/>
      <c r="E3" s="144"/>
      <c r="F3" s="144"/>
      <c r="G3" s="144"/>
      <c r="P3" s="279" t="s">
        <v>179</v>
      </c>
      <c r="Q3" s="279"/>
      <c r="X3" s="8" t="s">
        <v>135</v>
      </c>
      <c r="Y3" s="8"/>
      <c r="AE3" s="8" t="s">
        <v>190</v>
      </c>
      <c r="AM3" s="8" t="s">
        <v>186</v>
      </c>
      <c r="AS3" s="8" t="s">
        <v>181</v>
      </c>
      <c r="AT3" s="7"/>
      <c r="AY3" s="5" t="s">
        <v>207</v>
      </c>
    </row>
    <row r="4" spans="2:130" ht="14.4" x14ac:dyDescent="0.3">
      <c r="B4" s="144"/>
      <c r="C4" s="144"/>
      <c r="D4" s="144"/>
      <c r="E4" s="144"/>
      <c r="F4" s="144"/>
      <c r="G4" s="148" t="s">
        <v>256</v>
      </c>
      <c r="H4" s="74">
        <v>7</v>
      </c>
      <c r="I4" s="5" t="s">
        <v>95</v>
      </c>
      <c r="P4" s="127" t="s">
        <v>178</v>
      </c>
      <c r="Q4" s="128" t="s">
        <v>177</v>
      </c>
      <c r="X4" s="8" t="s">
        <v>200</v>
      </c>
      <c r="Y4" s="8"/>
      <c r="AE4" s="8" t="s">
        <v>191</v>
      </c>
      <c r="AM4" s="8" t="s">
        <v>214</v>
      </c>
      <c r="AS4" s="8" t="s">
        <v>182</v>
      </c>
      <c r="AT4" s="8"/>
      <c r="AY4" s="5" t="s">
        <v>209</v>
      </c>
    </row>
    <row r="5" spans="2:130" x14ac:dyDescent="0.3">
      <c r="D5" s="9" t="s">
        <v>176</v>
      </c>
      <c r="E5" s="74" t="s">
        <v>177</v>
      </c>
      <c r="F5" s="205" t="s">
        <v>178</v>
      </c>
      <c r="G5" s="5" t="s">
        <v>245</v>
      </c>
      <c r="J5" s="28"/>
      <c r="K5" s="28"/>
      <c r="P5" s="59" t="str">
        <f>IF(AND(IFERROR(SEARCH("incr",$E$5&amp;$F$5),0),IFERROR(SEARCH("decr",$E$5&amp;$F$5),0)),"???",IF(IFERROR(SEARCH("incr",$E$5&amp;$F$5),0),0,IF(IFERROR(SEARCH("decr",$E$5&amp;$F$5),0),1,"???")))</f>
        <v>???</v>
      </c>
      <c r="Q5" s="59" t="str">
        <f>IF(AND(IFERROR(SEARCH("incr",$E$5&amp;$F$5),0),IFERROR(SEARCH("decr",$E$5&amp;$F$5),0)),"???",IF(IFERROR(SEARCH("incr",$E$5&amp;$F$5),0),1,IF(IFERROR(SEARCH("decr",$E$5&amp;$F$5),0),0,"???")))</f>
        <v>???</v>
      </c>
      <c r="X5" s="8" t="s">
        <v>226</v>
      </c>
      <c r="Y5" s="8"/>
      <c r="AE5" s="8"/>
      <c r="AM5" s="8" t="s">
        <v>215</v>
      </c>
      <c r="AS5" s="8" t="s">
        <v>140</v>
      </c>
      <c r="AT5" s="8"/>
    </row>
    <row r="6" spans="2:130" ht="14.4" x14ac:dyDescent="0.3">
      <c r="B6" s="5" t="s">
        <v>236</v>
      </c>
      <c r="D6" s="9"/>
      <c r="E6" s="9"/>
      <c r="F6" s="9"/>
      <c r="G6" s="9"/>
      <c r="J6" s="28"/>
      <c r="K6" s="28"/>
      <c r="P6" s="59"/>
      <c r="Q6" s="59"/>
      <c r="X6" s="8"/>
      <c r="Y6" s="8"/>
      <c r="AE6" s="8"/>
      <c r="AM6" s="8"/>
      <c r="AS6" s="8"/>
      <c r="AT6" s="8"/>
    </row>
    <row r="7" spans="2:130" ht="22.85" x14ac:dyDescent="0.3">
      <c r="D7" s="28"/>
      <c r="E7" s="28"/>
      <c r="F7" s="119"/>
      <c r="G7" s="5"/>
      <c r="Y7" s="8"/>
      <c r="AY7" s="78">
        <v>0</v>
      </c>
      <c r="AZ7" s="79" t="s">
        <v>143</v>
      </c>
      <c r="BA7" s="80">
        <v>0.5</v>
      </c>
      <c r="BB7" s="79" t="s">
        <v>144</v>
      </c>
      <c r="BC7" s="80">
        <v>5</v>
      </c>
      <c r="BD7" s="79" t="s">
        <v>145</v>
      </c>
      <c r="BE7" s="80">
        <v>25</v>
      </c>
      <c r="BF7" s="81" t="s">
        <v>146</v>
      </c>
      <c r="BG7" s="82">
        <f>100-BE7</f>
        <v>75</v>
      </c>
      <c r="BH7" s="79" t="s">
        <v>147</v>
      </c>
      <c r="BI7" s="82">
        <f>100-BC7</f>
        <v>95</v>
      </c>
      <c r="BJ7" s="79" t="s">
        <v>148</v>
      </c>
      <c r="BK7" s="82">
        <f>100-BA7</f>
        <v>99.5</v>
      </c>
      <c r="BL7" s="123" t="s">
        <v>149</v>
      </c>
    </row>
    <row r="8" spans="2:130" ht="14.4" customHeight="1" x14ac:dyDescent="0.3">
      <c r="B8" s="265" t="s">
        <v>59</v>
      </c>
      <c r="C8" s="265"/>
      <c r="D8" s="265"/>
      <c r="E8" s="265"/>
      <c r="F8" s="265"/>
      <c r="G8" s="265"/>
      <c r="H8" s="265"/>
      <c r="I8" s="265"/>
      <c r="J8" s="75"/>
      <c r="U8" s="6" t="s">
        <v>132</v>
      </c>
      <c r="AM8" s="7" t="s">
        <v>115</v>
      </c>
      <c r="AQ8" s="6" t="s">
        <v>196</v>
      </c>
    </row>
    <row r="9" spans="2:130" ht="14.4" customHeight="1" x14ac:dyDescent="0.3">
      <c r="B9" s="280" t="s">
        <v>0</v>
      </c>
      <c r="C9" s="265" t="s">
        <v>1</v>
      </c>
      <c r="D9" s="265" t="s">
        <v>2</v>
      </c>
      <c r="E9" s="75" t="s">
        <v>3</v>
      </c>
      <c r="F9" s="265" t="s">
        <v>5</v>
      </c>
      <c r="G9" s="265" t="s">
        <v>37</v>
      </c>
      <c r="H9" s="265" t="s">
        <v>6</v>
      </c>
      <c r="I9" s="265"/>
      <c r="J9" s="75"/>
      <c r="T9" s="47"/>
      <c r="U9" s="47"/>
      <c r="V9" s="54" t="s">
        <v>14</v>
      </c>
      <c r="W9" s="54" t="s">
        <v>62</v>
      </c>
      <c r="X9" s="54" t="s">
        <v>15</v>
      </c>
      <c r="Y9" s="54" t="s">
        <v>110</v>
      </c>
      <c r="Z9" s="54" t="s">
        <v>111</v>
      </c>
      <c r="AI9" s="47"/>
      <c r="AJ9" s="47"/>
      <c r="AK9" s="54" t="s">
        <v>14</v>
      </c>
      <c r="AL9" s="54" t="s">
        <v>62</v>
      </c>
      <c r="AM9" s="54" t="s">
        <v>15</v>
      </c>
      <c r="AN9" s="54" t="s">
        <v>110</v>
      </c>
      <c r="AO9" s="54" t="s">
        <v>111</v>
      </c>
      <c r="AQ9" s="54" t="s">
        <v>14</v>
      </c>
      <c r="AR9" s="54" t="s">
        <v>62</v>
      </c>
      <c r="AS9" s="54" t="s">
        <v>15</v>
      </c>
      <c r="AT9" s="54" t="s">
        <v>110</v>
      </c>
      <c r="AU9" s="54" t="s">
        <v>111</v>
      </c>
    </row>
    <row r="10" spans="2:130" x14ac:dyDescent="0.3">
      <c r="B10" s="280"/>
      <c r="C10" s="265"/>
      <c r="D10" s="265"/>
      <c r="E10" s="75" t="s">
        <v>4</v>
      </c>
      <c r="F10" s="265"/>
      <c r="G10" s="265"/>
      <c r="H10" s="265"/>
      <c r="I10" s="265"/>
      <c r="J10" s="75"/>
      <c r="U10" s="24" t="s">
        <v>108</v>
      </c>
      <c r="V10" s="4">
        <f t="shared" ref="V10:Z11" si="0">SQRT(V26)</f>
        <v>0.94868329805051377</v>
      </c>
      <c r="W10" s="4">
        <f t="shared" si="0"/>
        <v>0.83666002653407556</v>
      </c>
      <c r="X10" s="4">
        <f t="shared" si="0"/>
        <v>0.70710678118654757</v>
      </c>
      <c r="Y10" s="4">
        <f t="shared" si="0"/>
        <v>0.54772255750516607</v>
      </c>
      <c r="Z10" s="4">
        <f t="shared" si="0"/>
        <v>0.31622776601683794</v>
      </c>
      <c r="AJ10" s="24" t="s">
        <v>108</v>
      </c>
      <c r="AK10" s="4">
        <f t="shared" ref="AK10:AO11" si="1">0.5*AK26</f>
        <v>-0.1</v>
      </c>
      <c r="AL10" s="4">
        <f t="shared" si="1"/>
        <v>-0.3</v>
      </c>
      <c r="AM10" s="4">
        <f t="shared" si="1"/>
        <v>-0.6</v>
      </c>
      <c r="AN10" s="4">
        <f t="shared" si="1"/>
        <v>-1</v>
      </c>
      <c r="AO10" s="4">
        <f t="shared" si="1"/>
        <v>-2</v>
      </c>
      <c r="AQ10" s="10">
        <f t="shared" ref="AQ10:AU11" si="2">0.5*AQ26</f>
        <v>-0.5</v>
      </c>
      <c r="AR10" s="10">
        <f t="shared" si="2"/>
        <v>-1.5</v>
      </c>
      <c r="AS10" s="10">
        <f t="shared" si="2"/>
        <v>-2.5</v>
      </c>
      <c r="AT10" s="10">
        <f t="shared" si="2"/>
        <v>-3.5</v>
      </c>
      <c r="AU10" s="10">
        <f t="shared" si="2"/>
        <v>-4.5</v>
      </c>
      <c r="AV10" s="71" t="s">
        <v>108</v>
      </c>
    </row>
    <row r="11" spans="2:130" ht="14.4" x14ac:dyDescent="0.3">
      <c r="B11" s="159" t="s">
        <v>7</v>
      </c>
      <c r="C11" s="141" t="s">
        <v>8</v>
      </c>
      <c r="D11" s="140">
        <v>0.13700000000000001</v>
      </c>
      <c r="E11" s="140">
        <v>0.1111</v>
      </c>
      <c r="F11" s="140">
        <v>1.23</v>
      </c>
      <c r="G11" s="140">
        <v>0.21759999999999999</v>
      </c>
      <c r="H11" s="151">
        <v>-4.5769999999999998E-2</v>
      </c>
      <c r="I11" s="140">
        <v>0.31979999999999997</v>
      </c>
      <c r="J11" s="1"/>
      <c r="L11" s="29"/>
      <c r="M11" s="29"/>
      <c r="U11" s="24" t="s">
        <v>109</v>
      </c>
      <c r="V11" s="4">
        <f t="shared" si="0"/>
        <v>1.0540925533894598</v>
      </c>
      <c r="W11" s="4">
        <f t="shared" si="0"/>
        <v>1.1952286093343936</v>
      </c>
      <c r="X11" s="4">
        <f t="shared" si="0"/>
        <v>1.4142135623730951</v>
      </c>
      <c r="Y11" s="4">
        <f t="shared" si="0"/>
        <v>1.8257418583505538</v>
      </c>
      <c r="Z11" s="10">
        <f t="shared" si="0"/>
        <v>3.1622776601683795</v>
      </c>
      <c r="AJ11" s="24" t="s">
        <v>109</v>
      </c>
      <c r="AK11" s="4">
        <f t="shared" si="1"/>
        <v>0.1</v>
      </c>
      <c r="AL11" s="4">
        <f t="shared" si="1"/>
        <v>0.3</v>
      </c>
      <c r="AM11" s="4">
        <f t="shared" si="1"/>
        <v>0.6</v>
      </c>
      <c r="AN11" s="4">
        <f t="shared" si="1"/>
        <v>1</v>
      </c>
      <c r="AO11" s="4">
        <f t="shared" si="1"/>
        <v>2</v>
      </c>
      <c r="AQ11" s="10">
        <f t="shared" si="2"/>
        <v>0.5</v>
      </c>
      <c r="AR11" s="10">
        <f t="shared" si="2"/>
        <v>1.5</v>
      </c>
      <c r="AS11" s="10">
        <f t="shared" si="2"/>
        <v>2.5</v>
      </c>
      <c r="AT11" s="10">
        <f t="shared" si="2"/>
        <v>3.5</v>
      </c>
      <c r="AU11" s="10">
        <f t="shared" si="2"/>
        <v>4.5</v>
      </c>
      <c r="AV11" s="71" t="s">
        <v>109</v>
      </c>
    </row>
    <row r="12" spans="2:130" ht="14.4" x14ac:dyDescent="0.3">
      <c r="B12" s="155" t="s">
        <v>9</v>
      </c>
      <c r="C12" s="141"/>
      <c r="D12" s="140">
        <v>0.13639999999999999</v>
      </c>
      <c r="E12" s="140">
        <v>0.13339999999999999</v>
      </c>
      <c r="F12" s="140">
        <v>1.02</v>
      </c>
      <c r="G12" s="140">
        <v>0.30630000000000002</v>
      </c>
      <c r="H12" s="151">
        <v>-8.2960000000000006E-2</v>
      </c>
      <c r="I12" s="140">
        <v>0.35580000000000001</v>
      </c>
      <c r="J12" s="121" t="s">
        <v>205</v>
      </c>
      <c r="K12" s="28"/>
      <c r="L12" s="14"/>
      <c r="M12" s="5"/>
    </row>
    <row r="13" spans="2:130" ht="15.65" customHeight="1" x14ac:dyDescent="0.3">
      <c r="B13" s="155" t="s">
        <v>10</v>
      </c>
      <c r="C13" s="141"/>
      <c r="D13" s="140">
        <v>1.1680999999999999</v>
      </c>
      <c r="E13" s="140">
        <v>0.20760000000000001</v>
      </c>
      <c r="F13" s="140">
        <v>5.63</v>
      </c>
      <c r="G13" s="140" t="s">
        <v>11</v>
      </c>
      <c r="H13" s="140">
        <v>0.89219999999999999</v>
      </c>
      <c r="I13" s="140">
        <v>1.6074999999999999</v>
      </c>
      <c r="J13" s="121" t="s">
        <v>201</v>
      </c>
      <c r="K13" s="40"/>
      <c r="L13" s="32"/>
    </row>
    <row r="14" spans="2:130" ht="15.65" customHeight="1" x14ac:dyDescent="0.3">
      <c r="V14" s="55"/>
      <c r="W14" s="55"/>
      <c r="X14" s="56" t="s">
        <v>105</v>
      </c>
      <c r="Y14" s="56"/>
      <c r="Z14" s="55"/>
      <c r="AA14" s="55"/>
      <c r="AB14" s="57"/>
      <c r="AC14" s="55"/>
      <c r="AD14" s="55"/>
      <c r="AE14" s="56" t="s">
        <v>106</v>
      </c>
      <c r="AG14" s="55"/>
      <c r="AH14" s="55"/>
      <c r="AI14" s="55"/>
      <c r="AJ14" s="55"/>
      <c r="AK14" s="55"/>
      <c r="AL14" s="55"/>
      <c r="AM14" s="56" t="s">
        <v>213</v>
      </c>
      <c r="AN14" s="57"/>
      <c r="AO14" s="57"/>
      <c r="AP14" s="57"/>
      <c r="AQ14" s="55"/>
      <c r="AR14" s="55"/>
      <c r="AS14" s="56" t="s">
        <v>197</v>
      </c>
      <c r="AT14" s="56"/>
      <c r="AU14" s="55"/>
      <c r="AV14" s="55"/>
      <c r="AY14" s="266" t="s">
        <v>170</v>
      </c>
      <c r="AZ14" s="267"/>
      <c r="BA14" s="267"/>
      <c r="BB14" s="267"/>
      <c r="BC14" s="267"/>
      <c r="BD14" s="267"/>
      <c r="BE14" s="268"/>
      <c r="BF14" s="277" t="s">
        <v>208</v>
      </c>
      <c r="BG14" s="278"/>
      <c r="BH14" s="281" t="s">
        <v>174</v>
      </c>
      <c r="BI14" s="282"/>
      <c r="BJ14" s="282"/>
      <c r="BK14" s="282"/>
      <c r="BL14" s="282"/>
      <c r="BM14" s="283"/>
      <c r="BN14" s="284" t="s">
        <v>150</v>
      </c>
      <c r="BO14" s="285"/>
      <c r="BP14" s="285"/>
      <c r="BQ14" s="285"/>
      <c r="BR14" s="285"/>
      <c r="BS14" s="285"/>
      <c r="BT14" s="285"/>
      <c r="BU14" s="285"/>
      <c r="BV14" s="286"/>
      <c r="BZ14" s="266" t="s">
        <v>169</v>
      </c>
      <c r="CA14" s="267"/>
      <c r="CB14" s="267"/>
      <c r="CC14" s="267"/>
      <c r="CD14" s="267"/>
      <c r="CE14" s="267"/>
      <c r="CF14" s="268"/>
      <c r="CG14" s="277" t="s">
        <v>208</v>
      </c>
      <c r="CH14" s="278"/>
      <c r="CI14" s="281" t="s">
        <v>180</v>
      </c>
      <c r="CJ14" s="282"/>
      <c r="CK14" s="282"/>
      <c r="CL14" s="282"/>
      <c r="CM14" s="282"/>
      <c r="CN14" s="283"/>
      <c r="CO14" s="284" t="s">
        <v>150</v>
      </c>
      <c r="CP14" s="285"/>
      <c r="CQ14" s="285"/>
      <c r="CR14" s="285"/>
      <c r="CS14" s="285"/>
      <c r="CT14" s="285"/>
      <c r="CU14" s="285"/>
      <c r="CV14" s="285"/>
      <c r="CW14" s="286"/>
      <c r="DA14" s="266" t="s">
        <v>173</v>
      </c>
      <c r="DB14" s="267"/>
      <c r="DC14" s="267"/>
      <c r="DD14" s="267"/>
      <c r="DE14" s="267"/>
      <c r="DF14" s="267"/>
      <c r="DG14" s="268"/>
      <c r="DH14" s="277" t="s">
        <v>208</v>
      </c>
      <c r="DI14" s="278"/>
      <c r="DJ14" s="281" t="s">
        <v>199</v>
      </c>
      <c r="DK14" s="282"/>
      <c r="DL14" s="282"/>
      <c r="DM14" s="282"/>
      <c r="DN14" s="282"/>
      <c r="DO14" s="283"/>
      <c r="DP14" s="284" t="s">
        <v>150</v>
      </c>
      <c r="DQ14" s="285"/>
      <c r="DR14" s="285"/>
      <c r="DS14" s="285"/>
      <c r="DT14" s="285"/>
      <c r="DU14" s="285"/>
      <c r="DV14" s="285"/>
      <c r="DW14" s="285"/>
      <c r="DX14" s="286"/>
    </row>
    <row r="15" spans="2:130" x14ac:dyDescent="0.3">
      <c r="B15" s="6" t="s">
        <v>82</v>
      </c>
      <c r="M15" s="7" t="s">
        <v>56</v>
      </c>
      <c r="N15" s="53"/>
      <c r="R15" s="8" t="s">
        <v>85</v>
      </c>
      <c r="S15" s="8"/>
      <c r="U15" s="36"/>
      <c r="V15" s="58"/>
      <c r="W15" s="55"/>
      <c r="X15" s="59" t="s">
        <v>195</v>
      </c>
      <c r="Y15" s="59"/>
      <c r="Z15" s="55"/>
      <c r="AA15" s="55"/>
      <c r="AB15" s="57"/>
      <c r="AC15" s="55"/>
      <c r="AD15" s="55"/>
      <c r="AE15" s="8" t="s">
        <v>191</v>
      </c>
      <c r="AF15" s="58"/>
      <c r="AG15" s="58"/>
      <c r="AH15" s="58"/>
      <c r="AI15" s="58" t="s">
        <v>75</v>
      </c>
      <c r="AJ15" s="55"/>
      <c r="AK15" s="55"/>
      <c r="AL15" s="55"/>
      <c r="AM15" s="59" t="s">
        <v>193</v>
      </c>
      <c r="AN15" s="57"/>
      <c r="AO15" s="57"/>
      <c r="AP15" s="57"/>
      <c r="AQ15" s="55"/>
      <c r="AR15" s="55"/>
      <c r="AS15" s="8" t="s">
        <v>185</v>
      </c>
      <c r="AT15" s="59"/>
      <c r="AU15" s="55"/>
      <c r="AV15" s="55"/>
      <c r="AY15" s="269" t="s">
        <v>175</v>
      </c>
      <c r="AZ15" s="271" t="s">
        <v>152</v>
      </c>
      <c r="BA15" s="273" t="s">
        <v>153</v>
      </c>
      <c r="BB15" s="274"/>
      <c r="BC15" s="275"/>
      <c r="BD15" s="276" t="s">
        <v>154</v>
      </c>
      <c r="BE15" s="276"/>
      <c r="BF15" s="106" t="s">
        <v>171</v>
      </c>
      <c r="BG15" s="107" t="s">
        <v>172</v>
      </c>
      <c r="BH15" s="273" t="str">
        <f>"Effect &amp; re-estimated "&amp;BE17&amp;"% confidence limits"</f>
        <v>Effect &amp; re-estimated 90% confidence limits</v>
      </c>
      <c r="BI15" s="274"/>
      <c r="BJ15" s="274"/>
      <c r="BK15" s="275"/>
      <c r="BL15" s="277" t="s">
        <v>155</v>
      </c>
      <c r="BM15" s="278"/>
      <c r="BN15" s="287" t="e">
        <f>"...beneficial or
substantially "&amp;BF16</f>
        <v>#VALUE!</v>
      </c>
      <c r="BO15" s="288"/>
      <c r="BP15" s="289"/>
      <c r="BQ15" s="293" t="s">
        <v>156</v>
      </c>
      <c r="BR15" s="293"/>
      <c r="BS15" s="294"/>
      <c r="BT15" s="297" t="e">
        <f>"...harmful or 
substantially "&amp;BG16</f>
        <v>#VALUE!</v>
      </c>
      <c r="BU15" s="298"/>
      <c r="BV15" s="299"/>
      <c r="BW15" s="303"/>
      <c r="BZ15" s="269" t="s">
        <v>151</v>
      </c>
      <c r="CA15" s="271" t="s">
        <v>152</v>
      </c>
      <c r="CB15" s="273" t="s">
        <v>153</v>
      </c>
      <c r="CC15" s="274"/>
      <c r="CD15" s="275"/>
      <c r="CE15" s="276" t="s">
        <v>154</v>
      </c>
      <c r="CF15" s="276"/>
      <c r="CG15" s="231" t="s">
        <v>171</v>
      </c>
      <c r="CH15" s="232" t="s">
        <v>172</v>
      </c>
      <c r="CI15" s="273" t="str">
        <f>"Effect &amp; re-estimated "&amp;CF17&amp;"% confidence limits"</f>
        <v>Effect &amp; re-estimated 90% confidence limits</v>
      </c>
      <c r="CJ15" s="274"/>
      <c r="CK15" s="274"/>
      <c r="CL15" s="275"/>
      <c r="CM15" s="277" t="s">
        <v>155</v>
      </c>
      <c r="CN15" s="278"/>
      <c r="CO15" s="287" t="e">
        <f>"...beneficial or
substantially "&amp;CG16</f>
        <v>#VALUE!</v>
      </c>
      <c r="CP15" s="288"/>
      <c r="CQ15" s="289"/>
      <c r="CR15" s="293" t="s">
        <v>156</v>
      </c>
      <c r="CS15" s="293"/>
      <c r="CT15" s="294"/>
      <c r="CU15" s="297" t="e">
        <f>"...harmful or 
substantially "&amp;CH16</f>
        <v>#VALUE!</v>
      </c>
      <c r="CV15" s="298"/>
      <c r="CW15" s="299"/>
      <c r="CX15" s="303"/>
      <c r="DA15" s="269" t="s">
        <v>151</v>
      </c>
      <c r="DB15" s="271" t="s">
        <v>152</v>
      </c>
      <c r="DC15" s="273" t="s">
        <v>153</v>
      </c>
      <c r="DD15" s="274"/>
      <c r="DE15" s="275"/>
      <c r="DF15" s="276" t="s">
        <v>154</v>
      </c>
      <c r="DG15" s="276"/>
      <c r="DH15" s="231" t="s">
        <v>171</v>
      </c>
      <c r="DI15" s="232" t="s">
        <v>172</v>
      </c>
      <c r="DJ15" s="273" t="str">
        <f>"Effect &amp; re-estimated "&amp;DG17&amp;"% confidence limits"</f>
        <v>Effect &amp; re-estimated 90% confidence limits</v>
      </c>
      <c r="DK15" s="274"/>
      <c r="DL15" s="274"/>
      <c r="DM15" s="275"/>
      <c r="DN15" s="277" t="s">
        <v>155</v>
      </c>
      <c r="DO15" s="278"/>
      <c r="DP15" s="287" t="e">
        <f>"...beneficial or
substantially "&amp;DH16</f>
        <v>#VALUE!</v>
      </c>
      <c r="DQ15" s="288"/>
      <c r="DR15" s="289"/>
      <c r="DS15" s="293" t="s">
        <v>156</v>
      </c>
      <c r="DT15" s="293"/>
      <c r="DU15" s="294"/>
      <c r="DV15" s="297" t="e">
        <f>"...harmful or 
substantially "&amp;DI16</f>
        <v>#VALUE!</v>
      </c>
      <c r="DW15" s="298"/>
      <c r="DX15" s="299"/>
      <c r="DY15" s="303"/>
    </row>
    <row r="16" spans="2:130" ht="14.4" customHeight="1" x14ac:dyDescent="0.3">
      <c r="B16" s="43"/>
      <c r="C16" s="43"/>
      <c r="D16" s="54" t="s">
        <v>2</v>
      </c>
      <c r="E16" s="54" t="s">
        <v>12</v>
      </c>
      <c r="F16" s="54" t="s">
        <v>13</v>
      </c>
      <c r="G16" s="54" t="s">
        <v>137</v>
      </c>
      <c r="H16" s="54" t="s">
        <v>22</v>
      </c>
      <c r="L16" s="54" t="s">
        <v>2</v>
      </c>
      <c r="M16" s="54" t="s">
        <v>12</v>
      </c>
      <c r="N16" s="54" t="s">
        <v>13</v>
      </c>
      <c r="R16" s="54" t="s">
        <v>84</v>
      </c>
      <c r="S16" s="8"/>
      <c r="V16" s="60" t="s">
        <v>2</v>
      </c>
      <c r="W16" s="191" t="s">
        <v>260</v>
      </c>
      <c r="X16" s="191" t="s">
        <v>261</v>
      </c>
      <c r="Y16" s="206" t="s">
        <v>231</v>
      </c>
      <c r="Z16" s="191" t="s">
        <v>61</v>
      </c>
      <c r="AA16" s="191" t="s">
        <v>60</v>
      </c>
      <c r="AB16" s="139"/>
      <c r="AC16" s="191" t="s">
        <v>2</v>
      </c>
      <c r="AD16" s="191" t="s">
        <v>260</v>
      </c>
      <c r="AE16" s="191" t="s">
        <v>261</v>
      </c>
      <c r="AF16" s="191" t="s">
        <v>61</v>
      </c>
      <c r="AG16" s="191" t="s">
        <v>60</v>
      </c>
      <c r="AH16" s="191"/>
      <c r="AI16" s="192" t="s">
        <v>83</v>
      </c>
      <c r="AJ16" s="144"/>
      <c r="AK16" s="191" t="s">
        <v>2</v>
      </c>
      <c r="AL16" s="191" t="s">
        <v>260</v>
      </c>
      <c r="AM16" s="191" t="s">
        <v>261</v>
      </c>
      <c r="AN16" s="193" t="s">
        <v>61</v>
      </c>
      <c r="AO16" s="193" t="s">
        <v>60</v>
      </c>
      <c r="AP16" s="139"/>
      <c r="AQ16" s="191" t="s">
        <v>2</v>
      </c>
      <c r="AR16" s="191" t="s">
        <v>260</v>
      </c>
      <c r="AS16" s="191" t="s">
        <v>261</v>
      </c>
      <c r="AT16" s="60" t="s">
        <v>230</v>
      </c>
      <c r="AU16" s="62" t="s">
        <v>61</v>
      </c>
      <c r="AV16" s="62" t="s">
        <v>60</v>
      </c>
      <c r="AY16" s="270"/>
      <c r="AZ16" s="272"/>
      <c r="BA16" s="87" t="s">
        <v>232</v>
      </c>
      <c r="BB16" s="88" t="s">
        <v>233</v>
      </c>
      <c r="BC16" s="93" t="s">
        <v>225</v>
      </c>
      <c r="BD16" s="89" t="s">
        <v>160</v>
      </c>
      <c r="BE16" s="90" t="s">
        <v>161</v>
      </c>
      <c r="BF16" s="91" t="e">
        <f>IF(BF17&lt;1,"decr.","incr.")</f>
        <v>#VALUE!</v>
      </c>
      <c r="BG16" s="92" t="e">
        <f>IF(BG17&gt;1,"incr.","decr.")</f>
        <v>#VALUE!</v>
      </c>
      <c r="BH16" s="83" t="s">
        <v>17</v>
      </c>
      <c r="BI16" s="90" t="s">
        <v>223</v>
      </c>
      <c r="BJ16" s="90" t="s">
        <v>224</v>
      </c>
      <c r="BK16" s="93" t="s">
        <v>225</v>
      </c>
      <c r="BL16" s="94" t="s">
        <v>164</v>
      </c>
      <c r="BM16" s="95" t="s">
        <v>165</v>
      </c>
      <c r="BN16" s="290"/>
      <c r="BO16" s="291"/>
      <c r="BP16" s="292"/>
      <c r="BQ16" s="295"/>
      <c r="BR16" s="295"/>
      <c r="BS16" s="296"/>
      <c r="BT16" s="300"/>
      <c r="BU16" s="301"/>
      <c r="BV16" s="302"/>
      <c r="BW16" s="304"/>
      <c r="BX16" s="97" t="s">
        <v>167</v>
      </c>
      <c r="BZ16" s="270"/>
      <c r="CA16" s="272"/>
      <c r="CB16" s="87" t="s">
        <v>232</v>
      </c>
      <c r="CC16" s="88" t="s">
        <v>233</v>
      </c>
      <c r="CD16" s="93" t="s">
        <v>222</v>
      </c>
      <c r="CE16" s="89" t="s">
        <v>160</v>
      </c>
      <c r="CF16" s="90" t="s">
        <v>161</v>
      </c>
      <c r="CG16" s="217" t="e">
        <f>IF(CG17&lt;0,"decr.","incr.")</f>
        <v>#VALUE!</v>
      </c>
      <c r="CH16" s="218" t="e">
        <f>IF(CH17&gt;0,"incr.","decr.")</f>
        <v>#VALUE!</v>
      </c>
      <c r="CI16" s="83" t="s">
        <v>17</v>
      </c>
      <c r="CJ16" s="90" t="s">
        <v>223</v>
      </c>
      <c r="CK16" s="90" t="s">
        <v>224</v>
      </c>
      <c r="CL16" s="93" t="s">
        <v>222</v>
      </c>
      <c r="CM16" s="94" t="s">
        <v>164</v>
      </c>
      <c r="CN16" s="95" t="s">
        <v>165</v>
      </c>
      <c r="CO16" s="290"/>
      <c r="CP16" s="291"/>
      <c r="CQ16" s="292"/>
      <c r="CR16" s="295"/>
      <c r="CS16" s="295"/>
      <c r="CT16" s="296"/>
      <c r="CU16" s="300"/>
      <c r="CV16" s="301"/>
      <c r="CW16" s="302"/>
      <c r="CX16" s="304"/>
      <c r="CY16" s="96" t="s">
        <v>167</v>
      </c>
      <c r="DA16" s="270"/>
      <c r="DB16" s="272"/>
      <c r="DC16" s="87" t="s">
        <v>232</v>
      </c>
      <c r="DD16" s="88" t="s">
        <v>233</v>
      </c>
      <c r="DE16" s="93" t="s">
        <v>222</v>
      </c>
      <c r="DF16" s="89" t="s">
        <v>160</v>
      </c>
      <c r="DG16" s="90" t="s">
        <v>161</v>
      </c>
      <c r="DH16" s="217" t="e">
        <f>IF(DH17&lt;0,"decr.","incr.")</f>
        <v>#VALUE!</v>
      </c>
      <c r="DI16" s="218" t="e">
        <f>IF(DI17&gt;0,"incr.","decr.")</f>
        <v>#VALUE!</v>
      </c>
      <c r="DJ16" s="83" t="s">
        <v>17</v>
      </c>
      <c r="DK16" s="90" t="s">
        <v>223</v>
      </c>
      <c r="DL16" s="90" t="s">
        <v>224</v>
      </c>
      <c r="DM16" s="93" t="s">
        <v>222</v>
      </c>
      <c r="DN16" s="94" t="s">
        <v>164</v>
      </c>
      <c r="DO16" s="95" t="s">
        <v>165</v>
      </c>
      <c r="DP16" s="290"/>
      <c r="DQ16" s="291"/>
      <c r="DR16" s="292"/>
      <c r="DS16" s="295"/>
      <c r="DT16" s="295"/>
      <c r="DU16" s="296"/>
      <c r="DV16" s="300"/>
      <c r="DW16" s="301"/>
      <c r="DX16" s="302"/>
      <c r="DY16" s="304"/>
      <c r="DZ16" s="96" t="s">
        <v>167</v>
      </c>
    </row>
    <row r="17" spans="2:130" ht="14.4" x14ac:dyDescent="0.3">
      <c r="B17" s="3" t="str">
        <f>B11</f>
        <v>Intercept</v>
      </c>
      <c r="C17" s="3" t="str">
        <f>C11</f>
        <v>AthleteID</v>
      </c>
      <c r="D17" s="4">
        <f>IFERROR(SQRT(D11),-SQRT(-D11))</f>
        <v>0.37013511046643494</v>
      </c>
      <c r="E17" s="4">
        <f>IFERROR(SQRT(H11),-SQRT(-H11))</f>
        <v>-0.21393924371185385</v>
      </c>
      <c r="F17" s="4">
        <f>IFERROR(SQRT(I11),-SQRT(-I11))</f>
        <v>0.56550862062394769</v>
      </c>
      <c r="G17" s="4">
        <f>D11/E11</f>
        <v>1.2331233123312331</v>
      </c>
      <c r="H17" s="4">
        <f>(100-MID($H$9,6,2))/100</f>
        <v>0.1</v>
      </c>
      <c r="L17" s="4">
        <f>EXP(D17)</f>
        <v>1.4479302319770613</v>
      </c>
      <c r="M17" s="4">
        <f t="shared" ref="M17:N18" si="3">EXP(E17)</f>
        <v>0.80739743800391972</v>
      </c>
      <c r="N17" s="4">
        <f t="shared" si="3"/>
        <v>1.7603429017695738</v>
      </c>
      <c r="R17" s="4">
        <f>$L$28/SQRT(L17)/(1+$L$28/SQRT(L17))</f>
        <v>0.70960740256870303</v>
      </c>
      <c r="S17" s="4"/>
      <c r="U17" s="24" t="str">
        <f>C17</f>
        <v>AthleteID</v>
      </c>
      <c r="V17" s="48">
        <f>$L$28*SQRT(L17)/(1+$L$28*SQRT(L17))/($L$28/SQRT(L17)/(1+$L$28/SQRT(L17)))</f>
        <v>1.0987025599775997</v>
      </c>
      <c r="W17" s="48">
        <f>EXP(LN(V17)-_xlfn.T.INV.2T(H17,999)*ABS(LN(V17))/ABS(G17))</f>
        <v>0.9689465618635974</v>
      </c>
      <c r="X17" s="48">
        <f>EXP(LN(V17)+_xlfn.T.INV.2T(H17,999)*ABS(LN(V17))/ABS(G17))</f>
        <v>1.2458347682039312</v>
      </c>
      <c r="Y17" s="48">
        <f>SQRT(X17/W17)</f>
        <v>1.1339145038756726</v>
      </c>
      <c r="Z17" s="4">
        <f>SQRT(0.9)</f>
        <v>0.94868329805051377</v>
      </c>
      <c r="AA17" s="4">
        <f>1/Z17</f>
        <v>1.0540925533894598</v>
      </c>
      <c r="AC17" s="4">
        <f t="shared" ref="AC17:AE18" si="4">D17</f>
        <v>0.37013511046643494</v>
      </c>
      <c r="AD17" s="4">
        <f t="shared" si="4"/>
        <v>-0.21393924371185385</v>
      </c>
      <c r="AE17" s="4">
        <f t="shared" si="4"/>
        <v>0.56550862062394769</v>
      </c>
      <c r="AF17" s="4">
        <f>LN(Z17*$L$28/SQRT(L17)/(1+$L$28/SQRT(L17))/(1-Z17*$L$28/SQRT(L17)/(1+$L$28/SQRT(L17)))/($L$28/SQRT(L17)))</f>
        <v>-0.17081719426985115</v>
      </c>
      <c r="AG17" s="4">
        <f>LN(AA17*$L$28/SQRT(L17)/(1+$L$28/SQRT(L17))/(1-AA17*$L$28/SQRT(L17)/(1+$L$28/SQRT(L17)))/($L$28/SQRT(L17)))</f>
        <v>0.19445273584767134</v>
      </c>
      <c r="AH17" s="4"/>
      <c r="AI17" s="4">
        <f>SQRT($D$11+$D$13*(1/($H$4*R17)+1/($H$4*(1-R17))))</f>
        <v>0.97303699491595907</v>
      </c>
      <c r="AJ17" s="5"/>
      <c r="AK17" s="4">
        <f>AC17/AI17</f>
        <v>0.38039161141905337</v>
      </c>
      <c r="AL17" s="4">
        <f>AD17/AI17</f>
        <v>-0.21986753312532759</v>
      </c>
      <c r="AM17" s="4">
        <f>AE17/AI17</f>
        <v>0.58117895165208033</v>
      </c>
      <c r="AN17" s="4">
        <v>-0.1</v>
      </c>
      <c r="AO17" s="4">
        <f>-AN17</f>
        <v>0.1</v>
      </c>
      <c r="AQ17" s="50">
        <f t="shared" ref="AQ17:AS18" si="5">10*(2*SQRT(L17)/(1+SQRT(L17))-1)</f>
        <v>0.92270572234685044</v>
      </c>
      <c r="AR17" s="50">
        <f t="shared" si="5"/>
        <v>-0.53433869221463648</v>
      </c>
      <c r="AS17" s="50">
        <f t="shared" si="5"/>
        <v>1.4044270011734894</v>
      </c>
      <c r="AT17" s="50">
        <f>(AS17-AR17)/2</f>
        <v>0.96938284669406294</v>
      </c>
      <c r="AU17" s="10">
        <f>$AQ$10</f>
        <v>-0.5</v>
      </c>
      <c r="AV17" s="10">
        <f>$AQ$11</f>
        <v>0.5</v>
      </c>
      <c r="AW17" s="6" t="str">
        <f>U17</f>
        <v>AthleteID</v>
      </c>
      <c r="AY17" s="108">
        <f>V17</f>
        <v>1.0987025599775997</v>
      </c>
      <c r="AZ17" s="109">
        <v>999</v>
      </c>
      <c r="BA17" s="108">
        <f>W17</f>
        <v>0.9689465618635974</v>
      </c>
      <c r="BB17" s="108">
        <f>X17</f>
        <v>1.2458347682039312</v>
      </c>
      <c r="BC17" s="108">
        <f>SQRT(BB17/BA17)</f>
        <v>1.1339145038756726</v>
      </c>
      <c r="BD17" s="110">
        <f>100*(1-H17)</f>
        <v>90</v>
      </c>
      <c r="BE17" s="102">
        <f>100-2*$BC$7</f>
        <v>90</v>
      </c>
      <c r="BF17" s="108" t="e">
        <f>$P$5*Z17+$Q$5*AA17</f>
        <v>#VALUE!</v>
      </c>
      <c r="BG17" s="108" t="e">
        <f>$Q$5*Z17+$P$5*AA17</f>
        <v>#VALUE!</v>
      </c>
      <c r="BH17" s="103">
        <f>AY17</f>
        <v>1.0987025599775997</v>
      </c>
      <c r="BI17" s="103">
        <f>EXP(LN(AY17)-TINV((100-BE17)/100,AZ17)*BX17)</f>
        <v>0.9689465618635974</v>
      </c>
      <c r="BJ17" s="103">
        <f>EXP(LN(AY17)+TINV((100-BE17)/100,AZ17)*BX17)</f>
        <v>1.2458347682039312</v>
      </c>
      <c r="BK17" s="103">
        <f>SQRT(BJ17/BI17)</f>
        <v>1.1339145038756726</v>
      </c>
      <c r="BL17" s="118" t="s">
        <v>204</v>
      </c>
      <c r="BM17" s="118" t="e">
        <f>IF(MIN(BN17,BT17)&gt;$BC$7,"unclear",IF(MAX(BN17,BQ17,BT17)=BN17,BP17&amp;" "&amp;BF$16,IF(MAX(BN17,BQ17,BT17)=BQ17,BS17&amp;" trivial",BV17&amp;" "&amp;BG$16)))</f>
        <v>#VALUE!</v>
      </c>
      <c r="BN17" s="98" t="e">
        <f>100*IF(LN(BF17)&gt;0,IF(LN(AY17)-LN(BF17)&gt;0,1-TDIST((LN(AY17)-LN(BF17))/BX17,AZ17,1),TDIST((LN(BF17)-LN(AY17))/BX17,AZ17,1)),IF(LN(AY17)-LN(BF17)&gt;0,TDIST((LN(AY17)-LN(BF17))/BX17,AZ17,1),1-TDIST((LN(BF17)-LN(AY17))/BX17,AZ17,1)))</f>
        <v>#VALUE!</v>
      </c>
      <c r="BO17" s="99" t="s">
        <v>166</v>
      </c>
      <c r="BP17" s="100" t="e">
        <f>IF(BN17&lt;$BA$7,$AZ$7,IF(BN17&lt;$BC$7,$BB$7,IF(BN17&lt;$BE$7,$BD$7,IF(BN17&lt;$BG$7,$BF$7,IF(BN17&lt;$BI$7,$BH$7,IF(BN17&lt;$BK$7,$BJ$7,$BL$7))))))</f>
        <v>#VALUE!</v>
      </c>
      <c r="BQ17" s="101" t="e">
        <f>100-BN17-BT17</f>
        <v>#VALUE!</v>
      </c>
      <c r="BR17" s="99" t="s">
        <v>166</v>
      </c>
      <c r="BS17" s="100" t="e">
        <f>IF(BQ17&lt;$BA$7,$AZ$7,IF(BQ17&lt;$BC$7,$BB$7,IF(BQ17&lt;$BE$7,$BD$7,IF(BQ17&lt;$BG$7,$BF$7,IF(BQ17&lt;$BI$7,$BH$7,IF(BQ17&lt;$BK$7,$BJ$7,$BL$7))))))</f>
        <v>#VALUE!</v>
      </c>
      <c r="BT17" s="98" t="e">
        <f>100*IF(LN(BG17)&gt;0,IF(LN(AY17)-LN(BG17)&gt;0,1-TDIST((LN(AY17)-LN(BG17))/BX17,AZ17,1),TDIST((LN(BG17)-LN(AY17))/BX17,AZ17,1)),IF(LN(AY17)-LN(BG17)&gt;0,TDIST((LN(AY17)-LN(BG17))/BX17,AZ17,1),1-TDIST((LN(BG17)-LN(AY17))/BX17,AZ17,1)))</f>
        <v>#VALUE!</v>
      </c>
      <c r="BU17" s="99" t="s">
        <v>166</v>
      </c>
      <c r="BV17" s="100" t="e">
        <f>IF(BT17&lt;$BA$7,$AZ$7,IF(BT17&lt;$BC$7,$BB$7,IF(BT17&lt;$BE$7,$BD$7,IF(BT17&lt;$BG$7,$BF$7,IF(BT17&lt;$BI$7,$BH$7,IF(BT17&lt;$BK$7,$BJ$7,$BL$7))))))</f>
        <v>#VALUE!</v>
      </c>
      <c r="BW17" s="115"/>
      <c r="BX17" s="105">
        <f>(LN(BB17)-LN(BA17))/2/TINV(1-BD17/100,AZ17)</f>
        <v>7.633461454072811E-2</v>
      </c>
      <c r="BY17" s="24" t="str">
        <f>U17</f>
        <v>AthleteID</v>
      </c>
      <c r="BZ17" s="111">
        <f>AK17</f>
        <v>0.38039161141905337</v>
      </c>
      <c r="CA17" s="109">
        <v>999</v>
      </c>
      <c r="CB17" s="111">
        <f>AL17</f>
        <v>-0.21986753312532759</v>
      </c>
      <c r="CC17" s="111">
        <f>AM17</f>
        <v>0.58117895165208033</v>
      </c>
      <c r="CD17" s="111">
        <f>(CC17-CB17)/2</f>
        <v>0.40052324238870396</v>
      </c>
      <c r="CE17" s="109">
        <f>100*(1-H17)</f>
        <v>90</v>
      </c>
      <c r="CF17" s="102">
        <f>100-2*$BC$7</f>
        <v>90</v>
      </c>
      <c r="CG17" s="233" t="e">
        <f>$P$5*AN17+$Q$5*AO17</f>
        <v>#VALUE!</v>
      </c>
      <c r="CH17" s="233" t="e">
        <f>$Q$5*AN17+$P$5*AO17</f>
        <v>#VALUE!</v>
      </c>
      <c r="CI17" s="117">
        <f>BZ17</f>
        <v>0.38039161141905337</v>
      </c>
      <c r="CJ17" s="117">
        <f>BZ17-TINV((100-CF17)/100,CA17)*CY17</f>
        <v>-2.0131630969650594E-2</v>
      </c>
      <c r="CK17" s="117">
        <f>BZ17+TINV((100-CF17)/100,CA17)*CY17</f>
        <v>0.78091485380775727</v>
      </c>
      <c r="CL17" s="117">
        <f>(CK17-CJ17)/2</f>
        <v>0.40052324238870396</v>
      </c>
      <c r="CM17" s="118" t="s">
        <v>204</v>
      </c>
      <c r="CN17" s="118" t="e">
        <f>IF(MIN(CO17,CU17)&gt;$BC$7,"unclear",IF(MAX(CO17,CR17,CU17)=CO17,CQ17&amp;" "&amp;CG$16,IF(MAX(CO17,CR17,CU17)=CR17,CT17&amp;" trivial",CW17&amp;" "&amp;CH$16)))</f>
        <v>#VALUE!</v>
      </c>
      <c r="CO17" s="112" t="e">
        <f>100*IF(CG17&gt;0,IF(BZ17-CG17&gt;0,1-TDIST((BZ17-CG17)/CY17,CA17,1),TDIST((CG17-BZ17)/CY17,CA17,1)),IF(BZ17-CG17&gt;0,TDIST((BZ17-CG17)/CY17,CA17,1),1-TDIST((CG17-BZ17)/CY17,CA17,1)))</f>
        <v>#VALUE!</v>
      </c>
      <c r="CP17" s="113" t="s">
        <v>166</v>
      </c>
      <c r="CQ17" s="100" t="e">
        <f>IF(CO17&lt;$BA$7,$AZ$7,IF(CO17&lt;$BC$7,$BB$7,IF(CO17&lt;$BE$7,$BD$7,IF(CO17&lt;$BG$7,$BF$7,IF(CO17&lt;$BI$7,$BH$7,IF(CO17&lt;$BK$7,$BJ$7,$BL$7))))))</f>
        <v>#VALUE!</v>
      </c>
      <c r="CR17" s="114" t="e">
        <f>100-CO17-CU17</f>
        <v>#VALUE!</v>
      </c>
      <c r="CS17" s="113" t="s">
        <v>166</v>
      </c>
      <c r="CT17" s="100" t="e">
        <f>IF(CR17&lt;$BA$7,$AZ$7,IF(CR17&lt;$BC$7,$BB$7,IF(CR17&lt;$BE$7,$BD$7,IF(CR17&lt;$BG$7,$BF$7,IF(CR17&lt;$BI$7,$BH$7,IF(CR17&lt;$BK$7,$BJ$7,$BL$7))))))</f>
        <v>#VALUE!</v>
      </c>
      <c r="CU17" s="112" t="e">
        <f>100*IF(CH17&gt;0,IF(BZ17-CH17&gt;0,1-TDIST((BZ17-CH17)/CY17,CA17,1),TDIST((CH17-BZ17)/CY17,CA17,1)),IF(BZ17-CH17&gt;0,TDIST((BZ17-CH17)/CY17,CA17,1),1-TDIST((CH17-BZ17)/CY17,CA17,1)))</f>
        <v>#VALUE!</v>
      </c>
      <c r="CV17" s="113" t="s">
        <v>166</v>
      </c>
      <c r="CW17" s="100" t="e">
        <f>IF(CU17&lt;$BA$7,$AZ$7,IF(CU17&lt;$BC$7,$BB$7,IF(CU17&lt;$BE$7,$BD$7,IF(CU17&lt;$BG$7,$BF$7,IF(CU17&lt;$BI$7,$BH$7,IF(CU17&lt;$BK$7,$BJ$7,$BL$7))))))</f>
        <v>#VALUE!</v>
      </c>
      <c r="CX17" s="115"/>
      <c r="CY17" s="105">
        <f>(CC17-CB17)/2/TINV(1-CE17/100,CA17)</f>
        <v>0.24327503878498144</v>
      </c>
      <c r="CZ17" s="24" t="str">
        <f>U17</f>
        <v>AthleteID</v>
      </c>
      <c r="DA17" s="116">
        <f>AQ17</f>
        <v>0.92270572234685044</v>
      </c>
      <c r="DB17" s="109">
        <v>999</v>
      </c>
      <c r="DC17" s="116">
        <f>AR17</f>
        <v>-0.53433869221463648</v>
      </c>
      <c r="DD17" s="116">
        <f>AS17</f>
        <v>1.4044270011734894</v>
      </c>
      <c r="DE17" s="116">
        <f>(DD17-DC17)/2</f>
        <v>0.96938284669406294</v>
      </c>
      <c r="DF17" s="109">
        <f>100*(1-H17)</f>
        <v>90</v>
      </c>
      <c r="DG17" s="102">
        <f>100-2*$BC$7</f>
        <v>90</v>
      </c>
      <c r="DH17" s="241" t="e">
        <f>$P$5*AU17+$Q$5*AV17</f>
        <v>#VALUE!</v>
      </c>
      <c r="DI17" s="241" t="e">
        <f>$Q$5*AU17+$P$5*AV17</f>
        <v>#VALUE!</v>
      </c>
      <c r="DJ17" s="104">
        <f>DA17</f>
        <v>0.92270572234685044</v>
      </c>
      <c r="DK17" s="104">
        <f>10*(2*SQRT(EXP(LN(((1+DA17/10)/(1-DA17/10))^2)-TINV((100-DG17)/100,DB17)*DZ17))/(1+SQRT(EXP(LN(((1+DA17/10)/(1-DA17/10))^2)-TINV((100-DG17)/100,DB17)*DZ17)))-1)</f>
        <v>-4.897166276468079E-2</v>
      </c>
      <c r="DL17" s="104">
        <f>10*(2*SQRT(EXP(LN(((1+DA17/10)/(1-DA17/10))^2)+TINV((100-DG17)/100,DB17)*DZ17))/(1+SQRT(EXP(LN(((1+DA17/10)/(1-DA17/10))^2)+TINV((100-DG17)/100,DB17)*DZ17)))-1)</f>
        <v>1.8771220844073699</v>
      </c>
      <c r="DM17" s="104">
        <f>(DL17-DK17)/2</f>
        <v>0.96304687358602536</v>
      </c>
      <c r="DN17" s="118" t="s">
        <v>204</v>
      </c>
      <c r="DO17" s="118" t="e">
        <f>IF(MIN(DP17,DV17)&gt;$BC$7,"unclear",IF(MAX(DP17,DS17,DV17)=DP17,DR17&amp;" "&amp;DH$16,IF(MAX(DP17,DS17,DV17)=DS17,DU17&amp;" trivial",DX17&amp;" "&amp;DI$16)))</f>
        <v>#VALUE!</v>
      </c>
      <c r="DP17" s="112" t="e">
        <f>100*IF(LN(((1+DH17/10)/(1-DH17/10))^2)&gt;0,IF(LN(((1+DA17/10)/(1-DA17/10))^2)-LN(((1+DH17/10)/(1-DH17/10))^2)&gt;0,1-TDIST((LN(((1+DA17/10)/(1-DA17/10))^2)-LN(((1+DH17/10)/(1-DH17/10))^2))/DZ17,DB17,1),TDIST((LN(((1+DH17/10)/(1-DH17/10))^2)-LN(((1+DA17/10)/(1-DA17/10))^2))/DZ17,DB17,1)),IF(LN(((1+DA17/10)/(1-DA17/10))^2)-LN(((1+DH17/10)/(1-DH17/10))^2)&gt;0,TDIST((LN(((1+DA17/10)/(1-DA17/10))^2)-LN(((1+DH17/10)/(1-DH17/10))^2))/DZ17,DB17,1),1-TDIST((LN(((1+DH17/10)/(1-DH17/10))^2)-LN(((1+DA17/10)/(1-DA17/10))^2))/DZ17,DB17,1)))</f>
        <v>#VALUE!</v>
      </c>
      <c r="DQ17" s="113" t="s">
        <v>166</v>
      </c>
      <c r="DR17" s="100" t="e">
        <f>IF(DP17&lt;$BA$7,$AZ$7,IF(DP17&lt;$BC$7,$BB$7,IF(DP17&lt;$BE$7,$BD$7,IF(DP17&lt;$BG$7,$BF$7,IF(DP17&lt;$BI$7,$BH$7,IF(DP17&lt;$BK$7,$BJ$7,$BL$7))))))</f>
        <v>#VALUE!</v>
      </c>
      <c r="DS17" s="114" t="e">
        <f>100-DP17-DV17</f>
        <v>#VALUE!</v>
      </c>
      <c r="DT17" s="113" t="s">
        <v>166</v>
      </c>
      <c r="DU17" s="100" t="e">
        <f>IF(DS17&lt;$BA$7,$AZ$7,IF(DS17&lt;$BC$7,$BB$7,IF(DS17&lt;$BE$7,$BD$7,IF(DS17&lt;$BG$7,$BF$7,IF(DS17&lt;$BI$7,$BH$7,IF(DS17&lt;$BK$7,$BJ$7,$BL$7))))))</f>
        <v>#VALUE!</v>
      </c>
      <c r="DV17" s="112" t="e">
        <f>100*IF(LN(((1+DI17/10)/(1-DI17/10))^2)&gt;0,IF(LN(((1+DA17/10)/(1-DA17/10))^2)-LN(((1+DI17/10)/(1-DI17/10))^2)&gt;0,1-TDIST((LN(((1+DA17/10)/(1-DA17/10))^2)-LN(((1+DI17/10)/(1-DI17/10))^2))/DZ17,DB17,1),TDIST((LN(((1+DI17/10)/(1-DI17/10))^2)-LN(((1+DA17/10)/(1-DA17/10))^2))/DZ17,DB17,1)),IF(LN(((1+DA17/10)/(1-DA17/10))^2)-LN(((1+DI17/10)/(1-DI17/10))^2)&gt;0,TDIST((LN(((1+DA17/10)/(1-DA17/10))^2)-LN(((1+DI17/10)/(1-DI17/10))^2))/DZ17,DB17,1),1-TDIST((LN(((1+DI17/10)/(1-DI17/10))^2)-LN(((1+DA17/10)/(1-DA17/10))^2))/DZ17,DB17,1)))</f>
        <v>#VALUE!</v>
      </c>
      <c r="DW17" s="113" t="s">
        <v>166</v>
      </c>
      <c r="DX17" s="100" t="e">
        <f>IF(DV17&lt;$BA$7,$AZ$7,IF(DV17&lt;$BC$7,$BB$7,IF(DV17&lt;$BE$7,$BD$7,IF(DV17&lt;$BG$7,$BF$7,IF(DV17&lt;$BI$7,$BH$7,IF(DV17&lt;$BK$7,$BJ$7,$BL$7))))))</f>
        <v>#VALUE!</v>
      </c>
      <c r="DY17" s="115"/>
      <c r="DZ17" s="105">
        <f>(LN(((1+DD17/10)/(1-DD17/10))^2)-LN(((1+DC17/10)/(1-DC17/10))^2))/2/TINV(1-DF17/100,DB17)</f>
        <v>0.23671561267740168</v>
      </c>
    </row>
    <row r="18" spans="2:130" ht="14.4" x14ac:dyDescent="0.3">
      <c r="B18" s="3" t="str">
        <f>B12</f>
        <v>GameID</v>
      </c>
      <c r="C18" s="3"/>
      <c r="D18" s="4">
        <f>IFERROR(SQRT(D12),-SQRT(-D12))</f>
        <v>0.36932370625238775</v>
      </c>
      <c r="E18" s="4">
        <f>IFERROR(SQRT(H12),-SQRT(-H12))</f>
        <v>-0.28802777643831506</v>
      </c>
      <c r="F18" s="4">
        <f>IFERROR(SQRT(I12),-SQRT(-I12))</f>
        <v>0.59648973168026953</v>
      </c>
      <c r="G18" s="4">
        <f>D12/E12</f>
        <v>1.0224887556221889</v>
      </c>
      <c r="H18" s="4">
        <f>(100-MID($H$9,6,2))/100</f>
        <v>0.1</v>
      </c>
      <c r="L18" s="4">
        <f>EXP(D18)</f>
        <v>1.4467558517981338</v>
      </c>
      <c r="M18" s="4">
        <f t="shared" si="3"/>
        <v>0.7497407668216528</v>
      </c>
      <c r="N18" s="4">
        <f t="shared" si="3"/>
        <v>1.8157338874257964</v>
      </c>
      <c r="R18" s="4">
        <f>$L$28/SQRT(L18)/(1+$L$28/SQRT(L18))</f>
        <v>0.70969099635679245</v>
      </c>
      <c r="S18" s="4"/>
      <c r="U18" s="24" t="str">
        <f>B18</f>
        <v>GameID</v>
      </c>
      <c r="V18" s="48">
        <f>$L$28*SQRT(L18)/(1+$L$28*SQRT(L18))/($L$28/SQRT(L18)/(1+$L$28/SQRT(L18)))</f>
        <v>1.0984749240897334</v>
      </c>
      <c r="W18" s="48">
        <f>EXP(LN(V18)-_xlfn.T.INV.2T(H18,999)*ABS(LN(V18))/ABS(G18))</f>
        <v>0.94430239404811545</v>
      </c>
      <c r="X18" s="48">
        <f>EXP(LN(V18)+_xlfn.T.INV.2T(H18,999)*ABS(LN(V18))/ABS(G18))</f>
        <v>1.2778185954619772</v>
      </c>
      <c r="Y18" s="48">
        <f>SQRT(X18/W18)</f>
        <v>1.1632660586411288</v>
      </c>
      <c r="Z18" s="4">
        <f>SQRT(0.9)</f>
        <v>0.94868329805051377</v>
      </c>
      <c r="AA18" s="4">
        <f>1/Z18</f>
        <v>1.0540925533894598</v>
      </c>
      <c r="AC18" s="4">
        <f t="shared" si="4"/>
        <v>0.36932370625238775</v>
      </c>
      <c r="AD18" s="4">
        <f t="shared" si="4"/>
        <v>-0.28802777643831506</v>
      </c>
      <c r="AE18" s="4">
        <f t="shared" si="4"/>
        <v>0.59648973168026953</v>
      </c>
      <c r="AF18" s="4">
        <f>LN(Z18*$L$28/SQRT(L18)/(1+$L$28/SQRT(L18))/(1-Z18*$L$28/SQRT(L18)/(1+$L$28/SQRT(L18)))/($L$28/SQRT(L18)))</f>
        <v>-0.17086240803340103</v>
      </c>
      <c r="AG18" s="4">
        <f>LN(AA18*$L$28/SQRT(L18)/(1+$L$28/SQRT(L18))/(1-AA18*$L$28/SQRT(L18)/(1+$L$28/SQRT(L18)))/($L$28/SQRT(L18)))</f>
        <v>0.19451454458451106</v>
      </c>
      <c r="AH18" s="4"/>
      <c r="AI18" s="4">
        <f>SQRT($D$11+$D$13*(1/($H$4*R18)+1/($H$4*(1-R18))))</f>
        <v>0.97310778469697423</v>
      </c>
      <c r="AJ18" s="5"/>
      <c r="AK18" s="4">
        <f>AC18/AI18</f>
        <v>0.37953011173104029</v>
      </c>
      <c r="AL18" s="4">
        <f>AD18/AI18</f>
        <v>-0.29598753701061686</v>
      </c>
      <c r="AM18" s="4">
        <f>AE18/AI18</f>
        <v>0.61297395937081778</v>
      </c>
      <c r="AN18" s="4">
        <v>-0.1</v>
      </c>
      <c r="AO18" s="4">
        <f>-AN18</f>
        <v>0.1</v>
      </c>
      <c r="AQ18" s="50">
        <f t="shared" si="5"/>
        <v>0.92069444464552896</v>
      </c>
      <c r="AR18" s="50">
        <f t="shared" si="5"/>
        <v>-0.71882749680729829</v>
      </c>
      <c r="AS18" s="50">
        <f t="shared" si="5"/>
        <v>1.4802680744369057</v>
      </c>
      <c r="AT18" s="50">
        <f>(AS18-AR18)/2</f>
        <v>1.0995477856221019</v>
      </c>
      <c r="AU18" s="10">
        <f>$AQ$10</f>
        <v>-0.5</v>
      </c>
      <c r="AV18" s="10">
        <f>$AQ$11</f>
        <v>0.5</v>
      </c>
      <c r="AW18" s="6" t="str">
        <f>U18</f>
        <v>GameID</v>
      </c>
      <c r="AY18" s="108">
        <f>V18</f>
        <v>1.0984749240897334</v>
      </c>
      <c r="AZ18" s="109">
        <v>999</v>
      </c>
      <c r="BA18" s="108">
        <f>W18</f>
        <v>0.94430239404811545</v>
      </c>
      <c r="BB18" s="108">
        <f>X18</f>
        <v>1.2778185954619772</v>
      </c>
      <c r="BC18" s="108">
        <f>SQRT(BB18/BA18)</f>
        <v>1.1632660586411288</v>
      </c>
      <c r="BD18" s="110">
        <f>100*(1-H18)</f>
        <v>90</v>
      </c>
      <c r="BE18" s="102">
        <f>100-2*$BC$7</f>
        <v>90</v>
      </c>
      <c r="BF18" s="108" t="e">
        <f>$P$5*Z18+$Q$5*AA18</f>
        <v>#VALUE!</v>
      </c>
      <c r="BG18" s="108" t="e">
        <f>$Q$5*Z18+$P$5*AA18</f>
        <v>#VALUE!</v>
      </c>
      <c r="BH18" s="103">
        <f>AY18</f>
        <v>1.0984749240897334</v>
      </c>
      <c r="BI18" s="103">
        <f>EXP(LN(AY18)-TINV((100-BE18)/100,AZ18)*BX18)</f>
        <v>0.94430239404811545</v>
      </c>
      <c r="BJ18" s="103">
        <f>EXP(LN(AY18)+TINV((100-BE18)/100,AZ18)*BX18)</f>
        <v>1.2778185954619772</v>
      </c>
      <c r="BK18" s="103">
        <f>SQRT(BJ18/BI18)</f>
        <v>1.1632660586411288</v>
      </c>
      <c r="BL18" s="118" t="str">
        <f>BL17</f>
        <v>not relevant for SDs</v>
      </c>
      <c r="BM18" s="118" t="e">
        <f>IF(MIN(BN18,BT18)&gt;$BC$7,"unclear",IF(MAX(BN18,BQ18,BT18)=BN18,BP18&amp;" "&amp;BF$16,IF(MAX(BN18,BQ18,BT18)=BQ18,BS18&amp;" trivial",BV18&amp;" "&amp;BG$16)))</f>
        <v>#VALUE!</v>
      </c>
      <c r="BN18" s="98" t="e">
        <f>100*IF(LN(BF18)&gt;0,IF(LN(AY18)-LN(BF18)&gt;0,1-TDIST((LN(AY18)-LN(BF18))/BX18,AZ18,1),TDIST((LN(BF18)-LN(AY18))/BX18,AZ18,1)),IF(LN(AY18)-LN(BF18)&gt;0,TDIST((LN(AY18)-LN(BF18))/BX18,AZ18,1),1-TDIST((LN(BF18)-LN(AY18))/BX18,AZ18,1)))</f>
        <v>#VALUE!</v>
      </c>
      <c r="BO18" s="99" t="s">
        <v>166</v>
      </c>
      <c r="BP18" s="100" t="e">
        <f>IF(BN18&lt;$BA$7,$AZ$7,IF(BN18&lt;$BC$7,$BB$7,IF(BN18&lt;$BE$7,$BD$7,IF(BN18&lt;$BG$7,$BF$7,IF(BN18&lt;$BI$7,$BH$7,IF(BN18&lt;$BK$7,$BJ$7,$BL$7))))))</f>
        <v>#VALUE!</v>
      </c>
      <c r="BQ18" s="101" t="e">
        <f>100-BN18-BT18</f>
        <v>#VALUE!</v>
      </c>
      <c r="BR18" s="99" t="s">
        <v>166</v>
      </c>
      <c r="BS18" s="100" t="e">
        <f>IF(BQ18&lt;$BA$7,$AZ$7,IF(BQ18&lt;$BC$7,$BB$7,IF(BQ18&lt;$BE$7,$BD$7,IF(BQ18&lt;$BG$7,$BF$7,IF(BQ18&lt;$BI$7,$BH$7,IF(BQ18&lt;$BK$7,$BJ$7,$BL$7))))))</f>
        <v>#VALUE!</v>
      </c>
      <c r="BT18" s="98" t="e">
        <f>100*IF(LN(BG18)&gt;0,IF(LN(AY18)-LN(BG18)&gt;0,1-TDIST((LN(AY18)-LN(BG18))/BX18,AZ18,1),TDIST((LN(BG18)-LN(AY18))/BX18,AZ18,1)),IF(LN(AY18)-LN(BG18)&gt;0,TDIST((LN(AY18)-LN(BG18))/BX18,AZ18,1),1-TDIST((LN(BG18)-LN(AY18))/BX18,AZ18,1)))</f>
        <v>#VALUE!</v>
      </c>
      <c r="BU18" s="99" t="s">
        <v>166</v>
      </c>
      <c r="BV18" s="100" t="e">
        <f>IF(BT18&lt;$BA$7,$AZ$7,IF(BT18&lt;$BC$7,$BB$7,IF(BT18&lt;$BE$7,$BD$7,IF(BT18&lt;$BG$7,$BF$7,IF(BT18&lt;$BI$7,$BH$7,IF(BT18&lt;$BK$7,$BJ$7,$BL$7))))))</f>
        <v>#VALUE!</v>
      </c>
      <c r="BW18" s="115"/>
      <c r="BX18" s="105">
        <f>(LN(BB18)-LN(BA18))/2/TINV(1-BD18/100,AZ18)</f>
        <v>9.1857034764630419E-2</v>
      </c>
      <c r="BY18" s="24" t="str">
        <f>U18</f>
        <v>GameID</v>
      </c>
      <c r="BZ18" s="111">
        <f>AK18</f>
        <v>0.37953011173104029</v>
      </c>
      <c r="CA18" s="109">
        <v>999</v>
      </c>
      <c r="CB18" s="111">
        <f>AL18</f>
        <v>-0.29598753701061686</v>
      </c>
      <c r="CC18" s="111">
        <f>AM18</f>
        <v>0.61297395937081778</v>
      </c>
      <c r="CD18" s="111">
        <f>(CC18-CB18)/2</f>
        <v>0.45448074819071732</v>
      </c>
      <c r="CE18" s="109">
        <f>100*(1-H18)</f>
        <v>90</v>
      </c>
      <c r="CF18" s="102">
        <f>100-2*$BC$7</f>
        <v>90</v>
      </c>
      <c r="CG18" s="233" t="e">
        <f>$P$5*AN18+$Q$5*AO18</f>
        <v>#VALUE!</v>
      </c>
      <c r="CH18" s="233" t="e">
        <f>$Q$5*AN18+$P$5*AO18</f>
        <v>#VALUE!</v>
      </c>
      <c r="CI18" s="117">
        <f>BZ18</f>
        <v>0.37953011173104029</v>
      </c>
      <c r="CJ18" s="117">
        <f>BZ18-TINV((100-CF18)/100,CA18)*CY18</f>
        <v>-7.4950636459677089E-2</v>
      </c>
      <c r="CK18" s="117">
        <f>BZ18+TINV((100-CF18)/100,CA18)*CY18</f>
        <v>0.83401085992175772</v>
      </c>
      <c r="CL18" s="117">
        <f>(CK18-CJ18)/2</f>
        <v>0.45448074819071738</v>
      </c>
      <c r="CM18" s="118" t="str">
        <f>CM17</f>
        <v>not relevant for SDs</v>
      </c>
      <c r="CN18" s="118" t="e">
        <f>IF(MIN(CO18,CU18)&gt;$BC$7,"unclear",IF(MAX(CO18,CR18,CU18)=CO18,CQ18&amp;" "&amp;CG$16,IF(MAX(CO18,CR18,CU18)=CR18,CT18&amp;" trivial",CW18&amp;" "&amp;CH$16)))</f>
        <v>#VALUE!</v>
      </c>
      <c r="CO18" s="112" t="e">
        <f>100*IF(CG18&gt;0,IF(BZ18-CG18&gt;0,1-TDIST((BZ18-CG18)/CY18,CA18,1),TDIST((CG18-BZ18)/CY18,CA18,1)),IF(BZ18-CG18&gt;0,TDIST((BZ18-CG18)/CY18,CA18,1),1-TDIST((CG18-BZ18)/CY18,CA18,1)))</f>
        <v>#VALUE!</v>
      </c>
      <c r="CP18" s="113" t="s">
        <v>166</v>
      </c>
      <c r="CQ18" s="100" t="e">
        <f>IF(CO18&lt;$BA$7,$AZ$7,IF(CO18&lt;$BC$7,$BB$7,IF(CO18&lt;$BE$7,$BD$7,IF(CO18&lt;$BG$7,$BF$7,IF(CO18&lt;$BI$7,$BH$7,IF(CO18&lt;$BK$7,$BJ$7,$BL$7))))))</f>
        <v>#VALUE!</v>
      </c>
      <c r="CR18" s="114" t="e">
        <f>100-CO18-CU18</f>
        <v>#VALUE!</v>
      </c>
      <c r="CS18" s="113" t="s">
        <v>166</v>
      </c>
      <c r="CT18" s="100" t="e">
        <f>IF(CR18&lt;$BA$7,$AZ$7,IF(CR18&lt;$BC$7,$BB$7,IF(CR18&lt;$BE$7,$BD$7,IF(CR18&lt;$BG$7,$BF$7,IF(CR18&lt;$BI$7,$BH$7,IF(CR18&lt;$BK$7,$BJ$7,$BL$7))))))</f>
        <v>#VALUE!</v>
      </c>
      <c r="CU18" s="112" t="e">
        <f>100*IF(CH18&gt;0,IF(BZ18-CH18&gt;0,1-TDIST((BZ18-CH18)/CY18,CA18,1),TDIST((CH18-BZ18)/CY18,CA18,1)),IF(BZ18-CH18&gt;0,TDIST((BZ18-CH18)/CY18,CA18,1),1-TDIST((CH18-BZ18)/CY18,CA18,1)))</f>
        <v>#VALUE!</v>
      </c>
      <c r="CV18" s="113" t="s">
        <v>166</v>
      </c>
      <c r="CW18" s="100" t="e">
        <f>IF(CU18&lt;$BA$7,$AZ$7,IF(CU18&lt;$BC$7,$BB$7,IF(CU18&lt;$BE$7,$BD$7,IF(CU18&lt;$BG$7,$BF$7,IF(CU18&lt;$BI$7,$BH$7,IF(CU18&lt;$BK$7,$BJ$7,$BL$7))))))</f>
        <v>#VALUE!</v>
      </c>
      <c r="CX18" s="115"/>
      <c r="CY18" s="105">
        <f>(CC18-CB18)/2/TINV(1-CE18/100,CA18)</f>
        <v>0.2760484534773216</v>
      </c>
      <c r="CZ18" s="24" t="str">
        <f>U18</f>
        <v>GameID</v>
      </c>
      <c r="DA18" s="116">
        <f>AQ18</f>
        <v>0.92069444464552896</v>
      </c>
      <c r="DB18" s="109">
        <v>999</v>
      </c>
      <c r="DC18" s="116">
        <f>AR18</f>
        <v>-0.71882749680729829</v>
      </c>
      <c r="DD18" s="116">
        <f>AS18</f>
        <v>1.4802680744369057</v>
      </c>
      <c r="DE18" s="116">
        <f>(DD18-DC18)/2</f>
        <v>1.0995477856221019</v>
      </c>
      <c r="DF18" s="109">
        <f>100*(1-H18)</f>
        <v>90</v>
      </c>
      <c r="DG18" s="102">
        <f>100-2*$BC$7</f>
        <v>90</v>
      </c>
      <c r="DH18" s="241" t="e">
        <f>$P$5*AU18+$Q$5*AV18</f>
        <v>#VALUE!</v>
      </c>
      <c r="DI18" s="241" t="e">
        <f>$Q$5*AU18+$P$5*AV18</f>
        <v>#VALUE!</v>
      </c>
      <c r="DJ18" s="104">
        <f>DA18</f>
        <v>0.92069444464552896</v>
      </c>
      <c r="DK18" s="104">
        <f>10*(2*SQRT(EXP(LN(((1+DA18/10)/(1-DA18/10))^2)-TINV((100-DG18)/100,DB18)*DZ18))/(1+SQRT(EXP(LN(((1+DA18/10)/(1-DA18/10))^2)-TINV((100-DG18)/100,DB18)*DZ18)))-1)</f>
        <v>-0.18231741493688558</v>
      </c>
      <c r="DL18" s="104">
        <f>10*(2*SQRT(EXP(LN(((1+DA18/10)/(1-DA18/10))^2)+TINV((100-DG18)/100,DB18)*DZ18))/(1+SQRT(EXP(LN(((1+DA18/10)/(1-DA18/10))^2)+TINV((100-DG18)/100,DB18)*DZ18)))-1)</f>
        <v>2.0015653347659512</v>
      </c>
      <c r="DM18" s="104">
        <f>(DL18-DK18)/2</f>
        <v>1.0919413748514184</v>
      </c>
      <c r="DN18" s="118" t="str">
        <f>DN17</f>
        <v>not relevant for SDs</v>
      </c>
      <c r="DO18" s="118" t="e">
        <f>IF(MIN(DP18,DV18)&gt;$BC$7,"unclear",IF(MAX(DP18,DS18,DV18)=DP18,DR18&amp;" "&amp;DH$16,IF(MAX(DP18,DS18,DV18)=DS18,DU18&amp;" trivial",DX18&amp;" "&amp;DI$16)))</f>
        <v>#VALUE!</v>
      </c>
      <c r="DP18" s="112" t="e">
        <f>100*IF(LN(((1+DH18/10)/(1-DH18/10))^2)&gt;0,IF(LN(((1+DA18/10)/(1-DA18/10))^2)-LN(((1+DH18/10)/(1-DH18/10))^2)&gt;0,1-TDIST((LN(((1+DA18/10)/(1-DA18/10))^2)-LN(((1+DH18/10)/(1-DH18/10))^2))/DZ18,DB18,1),TDIST((LN(((1+DH18/10)/(1-DH18/10))^2)-LN(((1+DA18/10)/(1-DA18/10))^2))/DZ18,DB18,1)),IF(LN(((1+DA18/10)/(1-DA18/10))^2)-LN(((1+DH18/10)/(1-DH18/10))^2)&gt;0,TDIST((LN(((1+DA18/10)/(1-DA18/10))^2)-LN(((1+DH18/10)/(1-DH18/10))^2))/DZ18,DB18,1),1-TDIST((LN(((1+DH18/10)/(1-DH18/10))^2)-LN(((1+DA18/10)/(1-DA18/10))^2))/DZ18,DB18,1)))</f>
        <v>#VALUE!</v>
      </c>
      <c r="DQ18" s="113" t="s">
        <v>166</v>
      </c>
      <c r="DR18" s="100" t="e">
        <f>IF(DP18&lt;$BA$7,$AZ$7,IF(DP18&lt;$BC$7,$BB$7,IF(DP18&lt;$BE$7,$BD$7,IF(DP18&lt;$BG$7,$BF$7,IF(DP18&lt;$BI$7,$BH$7,IF(DP18&lt;$BK$7,$BJ$7,$BL$7))))))</f>
        <v>#VALUE!</v>
      </c>
      <c r="DS18" s="114" t="e">
        <f>100-DP18-DV18</f>
        <v>#VALUE!</v>
      </c>
      <c r="DT18" s="113" t="s">
        <v>166</v>
      </c>
      <c r="DU18" s="100" t="e">
        <f>IF(DS18&lt;$BA$7,$AZ$7,IF(DS18&lt;$BC$7,$BB$7,IF(DS18&lt;$BE$7,$BD$7,IF(DS18&lt;$BG$7,$BF$7,IF(DS18&lt;$BI$7,$BH$7,IF(DS18&lt;$BK$7,$BJ$7,$BL$7))))))</f>
        <v>#VALUE!</v>
      </c>
      <c r="DV18" s="112" t="e">
        <f>100*IF(LN(((1+DI18/10)/(1-DI18/10))^2)&gt;0,IF(LN(((1+DA18/10)/(1-DA18/10))^2)-LN(((1+DI18/10)/(1-DI18/10))^2)&gt;0,1-TDIST((LN(((1+DA18/10)/(1-DA18/10))^2)-LN(((1+DI18/10)/(1-DI18/10))^2))/DZ18,DB18,1),TDIST((LN(((1+DI18/10)/(1-DI18/10))^2)-LN(((1+DA18/10)/(1-DA18/10))^2))/DZ18,DB18,1)),IF(LN(((1+DA18/10)/(1-DA18/10))^2)-LN(((1+DI18/10)/(1-DI18/10))^2)&gt;0,TDIST((LN(((1+DA18/10)/(1-DA18/10))^2)-LN(((1+DI18/10)/(1-DI18/10))^2))/DZ18,DB18,1),1-TDIST((LN(((1+DI18/10)/(1-DI18/10))^2)-LN(((1+DA18/10)/(1-DA18/10))^2))/DZ18,DB18,1)))</f>
        <v>#VALUE!</v>
      </c>
      <c r="DW18" s="113" t="s">
        <v>166</v>
      </c>
      <c r="DX18" s="100" t="e">
        <f>IF(DV18&lt;$BA$7,$AZ$7,IF(DV18&lt;$BC$7,$BB$7,IF(DV18&lt;$BE$7,$BD$7,IF(DV18&lt;$BG$7,$BF$7,IF(DV18&lt;$BI$7,$BH$7,IF(DV18&lt;$BK$7,$BJ$7,$BL$7))))))</f>
        <v>#VALUE!</v>
      </c>
      <c r="DY18" s="115"/>
      <c r="DZ18" s="105">
        <f>(LN(((1+DD18/10)/(1-DD18/10))^2)-LN(((1+DC18/10)/(1-DC18/10))^2))/2/TINV(1-DF18/100,DB18)</f>
        <v>0.26862489903234249</v>
      </c>
    </row>
    <row r="19" spans="2:130" ht="14.4" x14ac:dyDescent="0.3">
      <c r="B19" s="122" t="s">
        <v>250</v>
      </c>
      <c r="W19" s="48"/>
      <c r="X19" s="48"/>
      <c r="Y19" s="48"/>
      <c r="AC19" s="5"/>
      <c r="AD19" s="5"/>
      <c r="AE19" s="5"/>
      <c r="AF19" s="5"/>
      <c r="AG19" s="5"/>
      <c r="AH19" s="5"/>
      <c r="AI19" s="5"/>
      <c r="AJ19" s="5"/>
      <c r="AK19" s="5"/>
      <c r="AL19" s="5"/>
      <c r="AM19" s="5"/>
      <c r="AN19" s="5"/>
      <c r="AO19" s="5"/>
      <c r="BH19" s="5" t="s">
        <v>221</v>
      </c>
      <c r="CI19" s="5" t="s">
        <v>219</v>
      </c>
      <c r="DJ19" s="144" t="s">
        <v>264</v>
      </c>
    </row>
    <row r="20" spans="2:130" ht="14.4" x14ac:dyDescent="0.3">
      <c r="W20" s="48"/>
      <c r="X20" s="48"/>
      <c r="Y20" s="48"/>
      <c r="AC20" s="5"/>
      <c r="AD20" s="5"/>
      <c r="AE20" s="5"/>
      <c r="AF20" s="5"/>
      <c r="AG20" s="5"/>
      <c r="AH20" s="5"/>
      <c r="AI20" s="5"/>
      <c r="AJ20" s="5"/>
      <c r="AK20" s="5"/>
      <c r="AL20" s="5"/>
      <c r="AM20" s="5"/>
      <c r="AN20" s="5"/>
      <c r="AO20" s="5"/>
      <c r="BH20" s="5" t="s">
        <v>220</v>
      </c>
      <c r="CI20" s="5" t="s">
        <v>220</v>
      </c>
      <c r="DJ20" s="5" t="s">
        <v>220</v>
      </c>
    </row>
    <row r="21" spans="2:130" ht="14.4" x14ac:dyDescent="0.3">
      <c r="AC21" s="5"/>
      <c r="AD21" s="5"/>
      <c r="AE21" s="5"/>
      <c r="AF21" s="5"/>
      <c r="AG21" s="5"/>
      <c r="AH21" s="5"/>
      <c r="AI21" s="5"/>
      <c r="AJ21" s="5"/>
      <c r="AK21" s="5"/>
      <c r="AL21" s="5"/>
      <c r="AM21" s="5"/>
      <c r="AN21" s="5"/>
      <c r="AO21" s="5"/>
      <c r="CG21" s="139"/>
      <c r="CH21" s="139"/>
      <c r="DH21" s="139"/>
      <c r="DI21" s="139"/>
    </row>
    <row r="22" spans="2:130" ht="14.4" x14ac:dyDescent="0.3">
      <c r="W22" s="48"/>
      <c r="X22" s="48"/>
      <c r="Y22" s="48"/>
      <c r="AC22" s="5"/>
      <c r="AD22" s="5"/>
      <c r="AE22" s="5"/>
      <c r="AF22" s="5"/>
      <c r="AG22" s="5"/>
      <c r="AH22" s="5"/>
      <c r="AI22" s="5"/>
      <c r="AJ22" s="5"/>
      <c r="AK22" s="5"/>
      <c r="AL22" s="5"/>
      <c r="AM22" s="5"/>
      <c r="AN22" s="5"/>
      <c r="AO22" s="5"/>
      <c r="CG22" s="139"/>
      <c r="CH22" s="139"/>
      <c r="DH22" s="139"/>
      <c r="DI22" s="139"/>
    </row>
    <row r="23" spans="2:130" ht="14.4" x14ac:dyDescent="0.3">
      <c r="AC23" s="5"/>
      <c r="AD23" s="5"/>
      <c r="AE23" s="5"/>
      <c r="AF23" s="5"/>
      <c r="AG23" s="5"/>
      <c r="AH23" s="5"/>
      <c r="AI23" s="5"/>
      <c r="AJ23" s="5"/>
      <c r="AK23" s="5"/>
      <c r="AL23" s="5"/>
      <c r="AM23" s="5"/>
      <c r="AN23" s="5"/>
      <c r="AO23" s="5"/>
      <c r="CG23" s="139"/>
      <c r="CH23" s="139"/>
      <c r="DH23" s="139"/>
      <c r="DI23" s="139"/>
    </row>
    <row r="24" spans="2:130" ht="14.4" customHeight="1" x14ac:dyDescent="0.3">
      <c r="L24" s="5" t="s">
        <v>142</v>
      </c>
      <c r="Q24" s="18"/>
      <c r="U24" s="6" t="s">
        <v>133</v>
      </c>
      <c r="AC24" s="5"/>
      <c r="AD24" s="5"/>
      <c r="AE24" s="5"/>
      <c r="AF24" s="5"/>
      <c r="AG24" s="5"/>
      <c r="AH24" s="5"/>
      <c r="AJ24" s="204" t="s">
        <v>114</v>
      </c>
      <c r="AK24" s="139"/>
      <c r="AL24" s="139"/>
      <c r="AM24" s="139"/>
      <c r="AN24" s="144"/>
      <c r="AO24" s="144"/>
      <c r="AS24" s="7" t="s">
        <v>183</v>
      </c>
      <c r="CG24" s="139"/>
      <c r="CH24" s="139"/>
      <c r="DH24" s="139"/>
      <c r="DI24" s="139"/>
    </row>
    <row r="25" spans="2:130" ht="14.4" customHeight="1" x14ac:dyDescent="0.3">
      <c r="C25" s="265" t="s">
        <v>38</v>
      </c>
      <c r="D25" s="265"/>
      <c r="E25" s="265"/>
      <c r="F25" s="265"/>
      <c r="G25" s="265"/>
      <c r="H25" s="265"/>
      <c r="I25" s="265"/>
      <c r="J25" s="265"/>
      <c r="K25" s="265"/>
      <c r="L25" s="265"/>
      <c r="M25" s="265"/>
      <c r="N25" s="265"/>
      <c r="T25" s="47"/>
      <c r="U25" s="47"/>
      <c r="V25" s="54" t="s">
        <v>14</v>
      </c>
      <c r="W25" s="54" t="s">
        <v>62</v>
      </c>
      <c r="X25" s="54" t="s">
        <v>15</v>
      </c>
      <c r="Y25" s="54" t="s">
        <v>110</v>
      </c>
      <c r="Z25" s="54" t="s">
        <v>111</v>
      </c>
      <c r="AC25" s="5"/>
      <c r="AD25" s="5"/>
      <c r="AE25" s="5"/>
      <c r="AF25" s="5"/>
      <c r="AG25" s="5"/>
      <c r="AH25" s="5"/>
      <c r="AI25" s="47"/>
      <c r="AJ25" s="47"/>
      <c r="AK25" s="54" t="s">
        <v>14</v>
      </c>
      <c r="AL25" s="54" t="s">
        <v>62</v>
      </c>
      <c r="AM25" s="54" t="s">
        <v>15</v>
      </c>
      <c r="AN25" s="54" t="s">
        <v>110</v>
      </c>
      <c r="AO25" s="54" t="s">
        <v>111</v>
      </c>
      <c r="AQ25" s="54" t="s">
        <v>14</v>
      </c>
      <c r="AR25" s="54" t="s">
        <v>62</v>
      </c>
      <c r="AS25" s="54" t="s">
        <v>15</v>
      </c>
      <c r="AT25" s="54" t="s">
        <v>110</v>
      </c>
      <c r="AU25" s="54" t="s">
        <v>111</v>
      </c>
      <c r="CG25" s="139"/>
      <c r="CH25" s="139"/>
      <c r="DH25" s="139"/>
      <c r="DI25" s="139"/>
    </row>
    <row r="26" spans="2:130" ht="14.4" customHeight="1" x14ac:dyDescent="0.3">
      <c r="C26" s="265" t="s">
        <v>39</v>
      </c>
      <c r="D26" s="265" t="s">
        <v>2</v>
      </c>
      <c r="E26" s="75" t="s">
        <v>3</v>
      </c>
      <c r="F26" s="265" t="s">
        <v>19</v>
      </c>
      <c r="G26" s="265" t="s">
        <v>20</v>
      </c>
      <c r="H26" s="265" t="s">
        <v>21</v>
      </c>
      <c r="I26" s="265" t="s">
        <v>22</v>
      </c>
      <c r="J26" s="265" t="s">
        <v>12</v>
      </c>
      <c r="K26" s="265" t="s">
        <v>13</v>
      </c>
      <c r="L26" s="73" t="s">
        <v>40</v>
      </c>
      <c r="M26" s="73" t="s">
        <v>40</v>
      </c>
      <c r="N26" s="73" t="s">
        <v>40</v>
      </c>
      <c r="Q26" s="17" t="s">
        <v>72</v>
      </c>
      <c r="U26" s="24" t="s">
        <v>108</v>
      </c>
      <c r="V26" s="8">
        <v>0.9</v>
      </c>
      <c r="W26" s="8">
        <v>0.7</v>
      </c>
      <c r="X26" s="8">
        <v>0.5</v>
      </c>
      <c r="Y26" s="8">
        <v>0.3</v>
      </c>
      <c r="Z26" s="8">
        <v>0.1</v>
      </c>
      <c r="AC26" s="5"/>
      <c r="AD26" s="5"/>
      <c r="AE26" s="5"/>
      <c r="AF26" s="5"/>
      <c r="AG26" s="5"/>
      <c r="AH26" s="5"/>
      <c r="AJ26" s="24" t="s">
        <v>108</v>
      </c>
      <c r="AK26" s="4">
        <f>-AK27</f>
        <v>-0.2</v>
      </c>
      <c r="AL26" s="4">
        <f t="shared" ref="AL26:AO26" si="6">-AL27</f>
        <v>-0.6</v>
      </c>
      <c r="AM26" s="143">
        <f t="shared" si="6"/>
        <v>-1.2</v>
      </c>
      <c r="AN26" s="10">
        <f t="shared" si="6"/>
        <v>-2</v>
      </c>
      <c r="AO26" s="10">
        <f t="shared" si="6"/>
        <v>-4</v>
      </c>
      <c r="AQ26" s="10">
        <f>-AQ27</f>
        <v>-1</v>
      </c>
      <c r="AR26" s="10">
        <f t="shared" ref="AR26:AU26" si="7">-AR27</f>
        <v>-3</v>
      </c>
      <c r="AS26" s="10">
        <f t="shared" si="7"/>
        <v>-5</v>
      </c>
      <c r="AT26" s="10">
        <f t="shared" si="7"/>
        <v>-7</v>
      </c>
      <c r="AU26" s="10">
        <f t="shared" si="7"/>
        <v>-9</v>
      </c>
      <c r="AV26" s="71" t="s">
        <v>108</v>
      </c>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CG26" s="139"/>
      <c r="CH26" s="139"/>
      <c r="DH26" s="139"/>
      <c r="DI26" s="139"/>
    </row>
    <row r="27" spans="2:130" ht="14.4" customHeight="1" x14ac:dyDescent="0.3">
      <c r="C27" s="265"/>
      <c r="D27" s="265"/>
      <c r="E27" s="75" t="s">
        <v>4</v>
      </c>
      <c r="F27" s="265"/>
      <c r="G27" s="265"/>
      <c r="H27" s="265"/>
      <c r="I27" s="265"/>
      <c r="J27" s="265"/>
      <c r="K27" s="265"/>
      <c r="L27" s="75" t="s">
        <v>2</v>
      </c>
      <c r="M27" s="75" t="s">
        <v>12</v>
      </c>
      <c r="N27" s="75" t="s">
        <v>13</v>
      </c>
      <c r="P27" s="47"/>
      <c r="Q27" s="124"/>
      <c r="R27" s="125" t="s">
        <v>2</v>
      </c>
      <c r="S27" s="3"/>
      <c r="U27" s="24" t="s">
        <v>109</v>
      </c>
      <c r="V27" s="4">
        <f>1/V26</f>
        <v>1.1111111111111112</v>
      </c>
      <c r="W27" s="4">
        <f t="shared" ref="W27:X27" si="8">1/W26</f>
        <v>1.4285714285714286</v>
      </c>
      <c r="X27" s="10">
        <f t="shared" si="8"/>
        <v>2</v>
      </c>
      <c r="Y27" s="10">
        <f>1/Y26</f>
        <v>3.3333333333333335</v>
      </c>
      <c r="Z27" s="11">
        <f>1/Z26</f>
        <v>10</v>
      </c>
      <c r="AC27" s="5"/>
      <c r="AD27" s="5"/>
      <c r="AE27" s="5"/>
      <c r="AF27" s="5"/>
      <c r="AG27" s="5"/>
      <c r="AH27" s="5"/>
      <c r="AJ27" s="24" t="s">
        <v>109</v>
      </c>
      <c r="AK27" s="4">
        <v>0.2</v>
      </c>
      <c r="AL27" s="4">
        <v>0.6</v>
      </c>
      <c r="AM27" s="143">
        <v>1.2</v>
      </c>
      <c r="AN27" s="10">
        <v>2</v>
      </c>
      <c r="AO27" s="10">
        <v>4</v>
      </c>
      <c r="AQ27" s="10">
        <v>1</v>
      </c>
      <c r="AR27" s="10">
        <v>3</v>
      </c>
      <c r="AS27" s="10">
        <v>5</v>
      </c>
      <c r="AT27" s="10">
        <v>7</v>
      </c>
      <c r="AU27" s="10">
        <v>9</v>
      </c>
      <c r="AV27" s="71" t="s">
        <v>109</v>
      </c>
      <c r="CG27" s="139"/>
      <c r="CH27" s="139"/>
      <c r="DH27" s="139"/>
      <c r="DI27" s="139"/>
    </row>
    <row r="28" spans="2:130" ht="14.4" customHeight="1" x14ac:dyDescent="0.3">
      <c r="C28" s="44" t="s">
        <v>124</v>
      </c>
      <c r="D28" s="1">
        <v>1.0785</v>
      </c>
      <c r="E28" s="1">
        <v>0.21060000000000001</v>
      </c>
      <c r="F28" s="1">
        <v>62</v>
      </c>
      <c r="G28" s="1">
        <v>5.12</v>
      </c>
      <c r="H28" s="1" t="s">
        <v>11</v>
      </c>
      <c r="I28" s="1">
        <v>0.1</v>
      </c>
      <c r="J28" s="1">
        <v>0.72689999999999999</v>
      </c>
      <c r="K28" s="1">
        <v>1.4301999999999999</v>
      </c>
      <c r="L28" s="41">
        <v>2.9403999999999999</v>
      </c>
      <c r="M28" s="1">
        <v>2.0686</v>
      </c>
      <c r="N28" s="1">
        <v>4.1795</v>
      </c>
      <c r="P28" s="5"/>
      <c r="Q28" s="26" t="str">
        <f>C28</f>
        <v>Mean Fwds&amp;Backs</v>
      </c>
      <c r="R28" s="52">
        <f>L28/(1+L28)</f>
        <v>0.74621865800426357</v>
      </c>
      <c r="S28" s="52"/>
      <c r="T28" s="52"/>
      <c r="U28" s="32"/>
      <c r="AC28" s="5"/>
      <c r="AD28" s="5"/>
      <c r="AE28" s="5"/>
      <c r="AF28" s="4"/>
      <c r="AG28" s="5"/>
      <c r="AH28" s="5"/>
      <c r="AI28" s="5"/>
      <c r="AJ28" s="5"/>
      <c r="AK28" s="5"/>
      <c r="AL28" s="5"/>
      <c r="AM28" s="5"/>
      <c r="AN28" s="5"/>
      <c r="AO28" s="5"/>
      <c r="CG28" s="139"/>
      <c r="CH28" s="139"/>
      <c r="DH28" s="139"/>
      <c r="DI28" s="139"/>
    </row>
    <row r="29" spans="2:130" ht="15.65" customHeight="1" x14ac:dyDescent="0.3">
      <c r="C29" s="44"/>
      <c r="D29" s="1">
        <v>0</v>
      </c>
      <c r="E29" s="30" t="s">
        <v>64</v>
      </c>
      <c r="F29" s="30" t="s">
        <v>64</v>
      </c>
      <c r="G29" s="30" t="s">
        <v>64</v>
      </c>
      <c r="H29" s="30" t="s">
        <v>64</v>
      </c>
      <c r="I29" s="30" t="s">
        <v>64</v>
      </c>
      <c r="J29" s="30" t="s">
        <v>64</v>
      </c>
      <c r="K29" s="31" t="s">
        <v>64</v>
      </c>
      <c r="L29" s="30" t="s">
        <v>64</v>
      </c>
      <c r="M29" s="30" t="s">
        <v>64</v>
      </c>
      <c r="N29" s="30" t="s">
        <v>64</v>
      </c>
      <c r="P29" s="26"/>
      <c r="Q29" s="46"/>
      <c r="R29" s="51"/>
      <c r="S29" s="51"/>
      <c r="T29" s="51"/>
      <c r="U29" s="18"/>
      <c r="V29" s="55"/>
      <c r="W29" s="55"/>
      <c r="X29" s="56" t="s">
        <v>87</v>
      </c>
      <c r="Y29" s="56"/>
      <c r="Z29" s="55"/>
      <c r="AA29" s="55"/>
      <c r="AB29" s="57"/>
      <c r="AC29" s="55"/>
      <c r="AD29" s="55"/>
      <c r="AE29" s="56" t="s">
        <v>86</v>
      </c>
      <c r="AG29" s="55"/>
      <c r="AH29" s="55"/>
      <c r="AI29" s="55"/>
      <c r="AJ29" s="55"/>
      <c r="AK29" s="55"/>
      <c r="AL29" s="55"/>
      <c r="AM29" s="56" t="s">
        <v>194</v>
      </c>
      <c r="AN29" s="72"/>
      <c r="AO29" s="55"/>
      <c r="AP29" s="57"/>
      <c r="AQ29" s="55"/>
      <c r="AR29" s="55"/>
      <c r="AS29" s="56" t="s">
        <v>198</v>
      </c>
      <c r="AU29" s="55"/>
      <c r="AV29" s="55"/>
      <c r="AY29" s="266" t="s">
        <v>170</v>
      </c>
      <c r="AZ29" s="267"/>
      <c r="BA29" s="267"/>
      <c r="BB29" s="267"/>
      <c r="BC29" s="267"/>
      <c r="BD29" s="267"/>
      <c r="BE29" s="268"/>
      <c r="BF29" s="277" t="s">
        <v>208</v>
      </c>
      <c r="BG29" s="278"/>
      <c r="BH29" s="281" t="s">
        <v>174</v>
      </c>
      <c r="BI29" s="282"/>
      <c r="BJ29" s="282"/>
      <c r="BK29" s="282"/>
      <c r="BL29" s="282"/>
      <c r="BM29" s="283"/>
      <c r="BN29" s="284" t="s">
        <v>150</v>
      </c>
      <c r="BO29" s="285"/>
      <c r="BP29" s="285"/>
      <c r="BQ29" s="285"/>
      <c r="BR29" s="285"/>
      <c r="BS29" s="285"/>
      <c r="BT29" s="285"/>
      <c r="BU29" s="285"/>
      <c r="BV29" s="286"/>
      <c r="BZ29" s="266" t="s">
        <v>169</v>
      </c>
      <c r="CA29" s="267"/>
      <c r="CB29" s="267"/>
      <c r="CC29" s="267"/>
      <c r="CD29" s="267"/>
      <c r="CE29" s="267"/>
      <c r="CF29" s="268"/>
      <c r="CG29" s="277" t="s">
        <v>208</v>
      </c>
      <c r="CH29" s="278"/>
      <c r="CI29" s="281" t="s">
        <v>180</v>
      </c>
      <c r="CJ29" s="282"/>
      <c r="CK29" s="282"/>
      <c r="CL29" s="282"/>
      <c r="CM29" s="282"/>
      <c r="CN29" s="283"/>
      <c r="CO29" s="284" t="s">
        <v>150</v>
      </c>
      <c r="CP29" s="285"/>
      <c r="CQ29" s="285"/>
      <c r="CR29" s="285"/>
      <c r="CS29" s="285"/>
      <c r="CT29" s="285"/>
      <c r="CU29" s="285"/>
      <c r="CV29" s="285"/>
      <c r="CW29" s="286"/>
      <c r="DA29" s="266" t="s">
        <v>173</v>
      </c>
      <c r="DB29" s="267"/>
      <c r="DC29" s="267"/>
      <c r="DD29" s="267"/>
      <c r="DE29" s="267"/>
      <c r="DF29" s="267"/>
      <c r="DG29" s="268"/>
      <c r="DH29" s="277" t="s">
        <v>208</v>
      </c>
      <c r="DI29" s="278"/>
      <c r="DJ29" s="281" t="s">
        <v>199</v>
      </c>
      <c r="DK29" s="282"/>
      <c r="DL29" s="282"/>
      <c r="DM29" s="282"/>
      <c r="DN29" s="282"/>
      <c r="DO29" s="283"/>
      <c r="DP29" s="284" t="s">
        <v>150</v>
      </c>
      <c r="DQ29" s="285"/>
      <c r="DR29" s="285"/>
      <c r="DS29" s="285"/>
      <c r="DT29" s="285"/>
      <c r="DU29" s="285"/>
      <c r="DV29" s="285"/>
      <c r="DW29" s="285"/>
      <c r="DX29" s="286"/>
    </row>
    <row r="30" spans="2:130" ht="15.65" customHeight="1" x14ac:dyDescent="0.3">
      <c r="C30" s="44" t="s">
        <v>125</v>
      </c>
      <c r="D30" s="1">
        <v>0.94550000000000001</v>
      </c>
      <c r="E30" s="1">
        <v>0.2979</v>
      </c>
      <c r="F30" s="1">
        <v>62</v>
      </c>
      <c r="G30" s="1">
        <v>3.17</v>
      </c>
      <c r="H30" s="1">
        <v>2.3E-3</v>
      </c>
      <c r="I30" s="1">
        <v>0.1</v>
      </c>
      <c r="J30" s="1">
        <v>0.44800000000000001</v>
      </c>
      <c r="K30" s="1">
        <v>1.4430000000000001</v>
      </c>
      <c r="L30" s="1">
        <v>2.5741999999999998</v>
      </c>
      <c r="M30" s="1">
        <v>1.5651999999999999</v>
      </c>
      <c r="N30" s="1">
        <v>4.2335000000000003</v>
      </c>
      <c r="P30" s="5"/>
      <c r="Q30" s="27" t="str">
        <f>C30</f>
        <v>Mean Backs</v>
      </c>
      <c r="R30" s="4">
        <f>L30/(1+L30)</f>
        <v>0.72021711152145929</v>
      </c>
      <c r="S30" s="4"/>
      <c r="T30" s="4"/>
      <c r="U30" s="26" t="str">
        <f>IF(ISBLANK(C29),"",C29)</f>
        <v/>
      </c>
      <c r="V30" s="4"/>
      <c r="W30" s="5"/>
      <c r="X30" s="59" t="s">
        <v>195</v>
      </c>
      <c r="Y30" s="8"/>
      <c r="Z30" s="5"/>
      <c r="AA30" s="5"/>
      <c r="AC30" s="5"/>
      <c r="AD30" s="5"/>
      <c r="AE30" s="8" t="s">
        <v>191</v>
      </c>
      <c r="AF30" s="4"/>
      <c r="AG30" s="4"/>
      <c r="AH30" s="4"/>
      <c r="AI30" s="4" t="s">
        <v>75</v>
      </c>
      <c r="AJ30" s="5"/>
      <c r="AK30" s="5"/>
      <c r="AL30" s="5"/>
      <c r="AM30" s="59" t="s">
        <v>193</v>
      </c>
      <c r="AN30" s="5"/>
      <c r="AO30" s="5"/>
      <c r="AQ30" s="5"/>
      <c r="AR30" s="5"/>
      <c r="AS30" s="8" t="s">
        <v>184</v>
      </c>
      <c r="AT30" s="8"/>
      <c r="AU30" s="5"/>
      <c r="AV30" s="5"/>
      <c r="AY30" s="269" t="s">
        <v>175</v>
      </c>
      <c r="AZ30" s="271" t="s">
        <v>152</v>
      </c>
      <c r="BA30" s="273" t="s">
        <v>153</v>
      </c>
      <c r="BB30" s="274"/>
      <c r="BC30" s="275"/>
      <c r="BD30" s="276" t="s">
        <v>154</v>
      </c>
      <c r="BE30" s="276"/>
      <c r="BF30" s="106" t="s">
        <v>171</v>
      </c>
      <c r="BG30" s="107" t="s">
        <v>172</v>
      </c>
      <c r="BH30" s="273" t="str">
        <f>"Effect &amp; re-estimated "&amp;BE32&amp;"% confidence limits"</f>
        <v>Effect &amp; re-estimated 90% confidence limits</v>
      </c>
      <c r="BI30" s="274"/>
      <c r="BJ30" s="274"/>
      <c r="BK30" s="275"/>
      <c r="BL30" s="277" t="s">
        <v>155</v>
      </c>
      <c r="BM30" s="278"/>
      <c r="BN30" s="287" t="e">
        <f>"...beneficial or
substantially "&amp;BF31</f>
        <v>#VALUE!</v>
      </c>
      <c r="BO30" s="288"/>
      <c r="BP30" s="289"/>
      <c r="BQ30" s="293" t="s">
        <v>156</v>
      </c>
      <c r="BR30" s="293"/>
      <c r="BS30" s="294"/>
      <c r="BT30" s="297" t="e">
        <f>"...harmful or 
substantially "&amp;BG31</f>
        <v>#VALUE!</v>
      </c>
      <c r="BU30" s="298"/>
      <c r="BV30" s="299"/>
      <c r="BW30" s="303" t="s">
        <v>157</v>
      </c>
      <c r="BZ30" s="269" t="s">
        <v>151</v>
      </c>
      <c r="CA30" s="271" t="s">
        <v>152</v>
      </c>
      <c r="CB30" s="273" t="s">
        <v>153</v>
      </c>
      <c r="CC30" s="274"/>
      <c r="CD30" s="275"/>
      <c r="CE30" s="276" t="s">
        <v>154</v>
      </c>
      <c r="CF30" s="276"/>
      <c r="CG30" s="231" t="s">
        <v>171</v>
      </c>
      <c r="CH30" s="232" t="s">
        <v>172</v>
      </c>
      <c r="CI30" s="83"/>
      <c r="CJ30" s="84" t="str">
        <f>CF32&amp;"% confidence limits"</f>
        <v>90% confidence limits</v>
      </c>
      <c r="CK30" s="85"/>
      <c r="CL30" s="86"/>
      <c r="CM30" s="277" t="s">
        <v>155</v>
      </c>
      <c r="CN30" s="278"/>
      <c r="CO30" s="287" t="e">
        <f>"...beneficial or
substantially "&amp;CG31</f>
        <v>#VALUE!</v>
      </c>
      <c r="CP30" s="288"/>
      <c r="CQ30" s="289"/>
      <c r="CR30" s="293" t="s">
        <v>156</v>
      </c>
      <c r="CS30" s="293"/>
      <c r="CT30" s="294"/>
      <c r="CU30" s="297" t="e">
        <f>"...harmful or 
substantially "&amp;CH31</f>
        <v>#VALUE!</v>
      </c>
      <c r="CV30" s="298"/>
      <c r="CW30" s="299"/>
      <c r="CX30" s="303" t="s">
        <v>157</v>
      </c>
      <c r="DA30" s="269" t="s">
        <v>151</v>
      </c>
      <c r="DB30" s="271" t="s">
        <v>152</v>
      </c>
      <c r="DC30" s="273" t="s">
        <v>153</v>
      </c>
      <c r="DD30" s="274"/>
      <c r="DE30" s="275"/>
      <c r="DF30" s="276" t="s">
        <v>154</v>
      </c>
      <c r="DG30" s="276"/>
      <c r="DH30" s="231" t="s">
        <v>171</v>
      </c>
      <c r="DI30" s="232" t="s">
        <v>172</v>
      </c>
      <c r="DJ30" s="273" t="str">
        <f>"Effect &amp; re-estimated "&amp;DG32&amp;"% confidence limits"</f>
        <v>Effect &amp; re-estimated 90% confidence limits</v>
      </c>
      <c r="DK30" s="274"/>
      <c r="DL30" s="274"/>
      <c r="DM30" s="275"/>
      <c r="DN30" s="277" t="s">
        <v>155</v>
      </c>
      <c r="DO30" s="278"/>
      <c r="DP30" s="287" t="e">
        <f>"...beneficial or
substantially "&amp;DH31</f>
        <v>#VALUE!</v>
      </c>
      <c r="DQ30" s="288"/>
      <c r="DR30" s="289"/>
      <c r="DS30" s="293" t="s">
        <v>156</v>
      </c>
      <c r="DT30" s="293"/>
      <c r="DU30" s="294"/>
      <c r="DV30" s="297" t="e">
        <f>"...harmful or 
substantially "&amp;DI31</f>
        <v>#VALUE!</v>
      </c>
      <c r="DW30" s="298"/>
      <c r="DX30" s="299"/>
      <c r="DY30" s="303" t="s">
        <v>157</v>
      </c>
    </row>
    <row r="31" spans="2:130" ht="15.65" customHeight="1" x14ac:dyDescent="0.3">
      <c r="C31" s="44" t="s">
        <v>126</v>
      </c>
      <c r="D31" s="1">
        <v>1.2116</v>
      </c>
      <c r="E31" s="1">
        <v>0.2074</v>
      </c>
      <c r="F31" s="1">
        <v>62</v>
      </c>
      <c r="G31" s="1">
        <v>5.84</v>
      </c>
      <c r="H31" s="1" t="s">
        <v>11</v>
      </c>
      <c r="I31" s="1">
        <v>0.1</v>
      </c>
      <c r="J31" s="1">
        <v>0.86519999999999997</v>
      </c>
      <c r="K31" s="1">
        <v>1.5579000000000001</v>
      </c>
      <c r="L31" s="1">
        <v>3.3586999999999998</v>
      </c>
      <c r="M31" s="1">
        <v>2.3755000000000002</v>
      </c>
      <c r="N31" s="1">
        <v>4.7488999999999999</v>
      </c>
      <c r="P31" s="5"/>
      <c r="Q31" s="27" t="str">
        <f>C31</f>
        <v>Mean Fwds</v>
      </c>
      <c r="R31" s="4">
        <f>L31/(1+L31)</f>
        <v>0.77057379493885791</v>
      </c>
      <c r="S31" s="4"/>
      <c r="T31" s="4"/>
      <c r="U31" s="14"/>
      <c r="V31" s="60" t="s">
        <v>2</v>
      </c>
      <c r="W31" s="60" t="s">
        <v>12</v>
      </c>
      <c r="X31" s="60" t="s">
        <v>13</v>
      </c>
      <c r="Y31" s="77" t="s">
        <v>141</v>
      </c>
      <c r="Z31" s="60" t="s">
        <v>61</v>
      </c>
      <c r="AA31" s="60" t="s">
        <v>60</v>
      </c>
      <c r="AC31" s="60" t="s">
        <v>2</v>
      </c>
      <c r="AD31" s="60" t="s">
        <v>12</v>
      </c>
      <c r="AE31" s="60" t="s">
        <v>13</v>
      </c>
      <c r="AF31" s="60" t="s">
        <v>61</v>
      </c>
      <c r="AG31" s="60" t="s">
        <v>60</v>
      </c>
      <c r="AH31" s="60"/>
      <c r="AI31" s="61" t="s">
        <v>83</v>
      </c>
      <c r="AJ31" s="5"/>
      <c r="AK31" s="60" t="s">
        <v>2</v>
      </c>
      <c r="AL31" s="60" t="s">
        <v>12</v>
      </c>
      <c r="AM31" s="60" t="s">
        <v>13</v>
      </c>
      <c r="AN31" s="62" t="s">
        <v>61</v>
      </c>
      <c r="AO31" s="62" t="s">
        <v>60</v>
      </c>
      <c r="AQ31" s="60" t="s">
        <v>2</v>
      </c>
      <c r="AR31" s="60" t="s">
        <v>12</v>
      </c>
      <c r="AS31" s="60" t="s">
        <v>13</v>
      </c>
      <c r="AT31" s="60" t="s">
        <v>139</v>
      </c>
      <c r="AU31" s="62" t="s">
        <v>61</v>
      </c>
      <c r="AV31" s="62" t="s">
        <v>60</v>
      </c>
      <c r="AY31" s="270"/>
      <c r="AZ31" s="272"/>
      <c r="BA31" s="87" t="s">
        <v>158</v>
      </c>
      <c r="BB31" s="88" t="s">
        <v>159</v>
      </c>
      <c r="BC31" s="93" t="s">
        <v>168</v>
      </c>
      <c r="BD31" s="89" t="s">
        <v>160</v>
      </c>
      <c r="BE31" s="90" t="s">
        <v>161</v>
      </c>
      <c r="BF31" s="91" t="e">
        <f>IF(BF32&lt;1,"decr.","incr.")</f>
        <v>#VALUE!</v>
      </c>
      <c r="BG31" s="92" t="e">
        <f>IF(BG32&gt;1,"incr.","decr.")</f>
        <v>#VALUE!</v>
      </c>
      <c r="BH31" s="83" t="s">
        <v>17</v>
      </c>
      <c r="BI31" s="90" t="s">
        <v>162</v>
      </c>
      <c r="BJ31" s="90" t="s">
        <v>163</v>
      </c>
      <c r="BK31" s="93" t="s">
        <v>168</v>
      </c>
      <c r="BL31" s="94" t="s">
        <v>164</v>
      </c>
      <c r="BM31" s="95" t="s">
        <v>165</v>
      </c>
      <c r="BN31" s="290"/>
      <c r="BO31" s="291"/>
      <c r="BP31" s="292"/>
      <c r="BQ31" s="295"/>
      <c r="BR31" s="295"/>
      <c r="BS31" s="296"/>
      <c r="BT31" s="300"/>
      <c r="BU31" s="301"/>
      <c r="BV31" s="302"/>
      <c r="BW31" s="304"/>
      <c r="BX31" s="97" t="s">
        <v>167</v>
      </c>
      <c r="BZ31" s="270"/>
      <c r="CA31" s="272"/>
      <c r="CB31" s="87" t="s">
        <v>158</v>
      </c>
      <c r="CC31" s="88" t="s">
        <v>159</v>
      </c>
      <c r="CD31" s="93" t="s">
        <v>138</v>
      </c>
      <c r="CE31" s="89" t="s">
        <v>160</v>
      </c>
      <c r="CF31" s="90" t="s">
        <v>161</v>
      </c>
      <c r="CG31" s="217" t="e">
        <f>IF(CG32&lt;0,"decr.","incr.")</f>
        <v>#VALUE!</v>
      </c>
      <c r="CH31" s="218" t="e">
        <f>IF(CH32&gt;0,"incr.","decr.")</f>
        <v>#VALUE!</v>
      </c>
      <c r="CI31" s="83" t="s">
        <v>17</v>
      </c>
      <c r="CJ31" s="90" t="s">
        <v>162</v>
      </c>
      <c r="CK31" s="90" t="s">
        <v>163</v>
      </c>
      <c r="CL31" s="93" t="s">
        <v>138</v>
      </c>
      <c r="CM31" s="94" t="s">
        <v>164</v>
      </c>
      <c r="CN31" s="95" t="s">
        <v>165</v>
      </c>
      <c r="CO31" s="290"/>
      <c r="CP31" s="291"/>
      <c r="CQ31" s="292"/>
      <c r="CR31" s="295"/>
      <c r="CS31" s="295"/>
      <c r="CT31" s="296"/>
      <c r="CU31" s="300"/>
      <c r="CV31" s="301"/>
      <c r="CW31" s="302"/>
      <c r="CX31" s="304"/>
      <c r="CY31" s="96" t="s">
        <v>167</v>
      </c>
      <c r="DA31" s="270"/>
      <c r="DB31" s="272"/>
      <c r="DC31" s="87" t="s">
        <v>158</v>
      </c>
      <c r="DD31" s="88" t="s">
        <v>159</v>
      </c>
      <c r="DE31" s="93" t="s">
        <v>138</v>
      </c>
      <c r="DF31" s="89" t="s">
        <v>160</v>
      </c>
      <c r="DG31" s="90" t="s">
        <v>161</v>
      </c>
      <c r="DH31" s="217" t="e">
        <f>IF(DH32&lt;0,"decr.","incr.")</f>
        <v>#VALUE!</v>
      </c>
      <c r="DI31" s="218" t="e">
        <f>IF(DI32&gt;0,"incr.","decr.")</f>
        <v>#VALUE!</v>
      </c>
      <c r="DJ31" s="83" t="s">
        <v>17</v>
      </c>
      <c r="DK31" s="90" t="s">
        <v>162</v>
      </c>
      <c r="DL31" s="90" t="s">
        <v>163</v>
      </c>
      <c r="DM31" s="93" t="s">
        <v>138</v>
      </c>
      <c r="DN31" s="94" t="s">
        <v>164</v>
      </c>
      <c r="DO31" s="95" t="s">
        <v>165</v>
      </c>
      <c r="DP31" s="290"/>
      <c r="DQ31" s="291"/>
      <c r="DR31" s="292"/>
      <c r="DS31" s="295"/>
      <c r="DT31" s="295"/>
      <c r="DU31" s="296"/>
      <c r="DV31" s="300"/>
      <c r="DW31" s="301"/>
      <c r="DX31" s="302"/>
      <c r="DY31" s="304"/>
      <c r="DZ31" s="96" t="s">
        <v>167</v>
      </c>
    </row>
    <row r="32" spans="2:130" ht="15.65" customHeight="1" x14ac:dyDescent="0.3">
      <c r="C32" s="44" t="s">
        <v>127</v>
      </c>
      <c r="D32" s="1">
        <v>0.26600000000000001</v>
      </c>
      <c r="E32" s="1">
        <v>0.29360000000000003</v>
      </c>
      <c r="F32" s="1">
        <v>62</v>
      </c>
      <c r="G32" s="1">
        <v>0.91</v>
      </c>
      <c r="H32" s="1">
        <v>0.36830000000000002</v>
      </c>
      <c r="I32" s="1">
        <v>0.1</v>
      </c>
      <c r="J32" s="12">
        <v>-0.22420000000000001</v>
      </c>
      <c r="K32" s="1">
        <v>0.75629999999999997</v>
      </c>
      <c r="L32" s="1">
        <v>1.3048</v>
      </c>
      <c r="M32" s="1">
        <v>0.79920000000000002</v>
      </c>
      <c r="N32" s="1">
        <v>2.1303000000000001</v>
      </c>
      <c r="P32" s="5"/>
      <c r="R32" s="5"/>
      <c r="S32" s="5"/>
      <c r="T32" s="5"/>
      <c r="U32" s="26" t="str">
        <f>C32</f>
        <v>Mean Fwds/Backs</v>
      </c>
      <c r="V32" s="48">
        <f>L30*L32/(1+L30*L32)/R30</f>
        <v>1.0699272437312428</v>
      </c>
      <c r="W32" s="48">
        <f>EXP(LN(V32)-_xlfn.T.INV.2T(I32,F32)*ABS(LN(V32))/ABS(G32))</f>
        <v>0.94512811631501292</v>
      </c>
      <c r="X32" s="48">
        <f>EXP(LN(V32)+_xlfn.T.INV.2T(I32,F32)*ABS(LN(V32))/ABS(G32))</f>
        <v>1.2112054303723505</v>
      </c>
      <c r="Y32" s="48">
        <f>SQRT(X32/W32)</f>
        <v>1.1320446670265325</v>
      </c>
      <c r="Z32" s="4">
        <f>$V$26</f>
        <v>0.9</v>
      </c>
      <c r="AA32" s="4">
        <f>$V$27</f>
        <v>1.1111111111111112</v>
      </c>
      <c r="AC32" s="4">
        <f>D32</f>
        <v>0.26600000000000001</v>
      </c>
      <c r="AD32" s="4">
        <f>J32</f>
        <v>-0.22420000000000001</v>
      </c>
      <c r="AE32" s="4">
        <f>K32</f>
        <v>0.75629999999999997</v>
      </c>
      <c r="AF32" s="4">
        <f>LN(Z32*R30/(1-Z32*R30)/L30)</f>
        <v>-0.33442251833559605</v>
      </c>
      <c r="AG32" s="4">
        <f>LN(AA32*R30/(1-AA32*R30)/L30)</f>
        <v>0.44226395634526228</v>
      </c>
      <c r="AH32" s="4"/>
      <c r="AI32" s="4">
        <f>SQRT($D$11+$D$13*(1/($H$4*$R30)+1/($H$4*(1-$R30))))</f>
        <v>0.98240921541193782</v>
      </c>
      <c r="AJ32" s="5"/>
      <c r="AK32" s="4">
        <f>AC32/AI32</f>
        <v>0.27076293241860777</v>
      </c>
      <c r="AL32" s="4">
        <f>AD32/AI32</f>
        <v>-0.22821447160996941</v>
      </c>
      <c r="AM32" s="4">
        <f>AE32/AI32</f>
        <v>0.76984212702328214</v>
      </c>
      <c r="AN32" s="143">
        <f>$AK$26</f>
        <v>-0.2</v>
      </c>
      <c r="AO32" s="143">
        <f>$AK$27</f>
        <v>0.2</v>
      </c>
      <c r="AQ32" s="50">
        <f>10*(2*SQRT(L32)/(1+SQRT(L32))-1)</f>
        <v>0.66414534753997057</v>
      </c>
      <c r="AR32" s="50">
        <f>10*(2*SQRT(M32)/(1+SQRT(M32))-1)</f>
        <v>-0.55977434809956317</v>
      </c>
      <c r="AS32" s="50">
        <f>10*(2*SQRT(N32)/(1+SQRT(N32))-1)</f>
        <v>1.8684468438393886</v>
      </c>
      <c r="AT32" s="50">
        <f>(AS32-AR32)/2</f>
        <v>1.2141105959694758</v>
      </c>
      <c r="AU32" s="10">
        <f>$AQ$26</f>
        <v>-1</v>
      </c>
      <c r="AV32" s="10">
        <f>$AQ$27</f>
        <v>1</v>
      </c>
      <c r="AW32" s="6" t="str">
        <f>U32</f>
        <v>Mean Fwds/Backs</v>
      </c>
      <c r="AY32" s="108">
        <f>V32</f>
        <v>1.0699272437312428</v>
      </c>
      <c r="AZ32" s="109">
        <f>F32</f>
        <v>62</v>
      </c>
      <c r="BA32" s="108">
        <f>W32</f>
        <v>0.94512811631501292</v>
      </c>
      <c r="BB32" s="108">
        <f>X32</f>
        <v>1.2112054303723505</v>
      </c>
      <c r="BC32" s="108">
        <f>SQRT(BB32/BA32)</f>
        <v>1.1320446670265325</v>
      </c>
      <c r="BD32" s="110">
        <f>100*(1-I32)</f>
        <v>90</v>
      </c>
      <c r="BE32" s="102">
        <f>100-2*$BC$7</f>
        <v>90</v>
      </c>
      <c r="BF32" s="108" t="e">
        <f>$P$5*Z32+$Q$5*AA32</f>
        <v>#VALUE!</v>
      </c>
      <c r="BG32" s="108" t="e">
        <f>$Q$5*Z32+$P$5*AA32</f>
        <v>#VALUE!</v>
      </c>
      <c r="BH32" s="103">
        <f>AY32</f>
        <v>1.0699272437312428</v>
      </c>
      <c r="BI32" s="103">
        <f>EXP(LN(AY32)-TINV((100-BE32)/100,AZ32)*BX32)</f>
        <v>0.94512811631501292</v>
      </c>
      <c r="BJ32" s="103">
        <f>EXP(LN(AY32)+TINV((100-BE32)/100,AZ32)*BX32)</f>
        <v>1.2112054303723505</v>
      </c>
      <c r="BK32" s="103">
        <f>SQRT(BJ32/BI32)</f>
        <v>1.1320446670265325</v>
      </c>
      <c r="BL32" s="118" t="e">
        <f>IF(BN32&lt;$BE$7,IF(MAX(BQ32,BT32)=BQ32,BS32&amp;" trivial; don't use",BV32&amp;" harmful; don't use"),IF(BT32&lt;$BA$7,BP32&amp;" beneficial; use","unclear; don't use"))</f>
        <v>#VALUE!</v>
      </c>
      <c r="BM32" s="118" t="e">
        <f>IF(MIN(BN32,BT32)&gt;$BC$7,"unclear",IF(MAX(BN32,BQ32,BT32)=BN32,BP32&amp;" "&amp;BF31,IF(MAX(BN32,BQ32,BT32)=BQ32,BS32&amp;" trivial",BV32&amp;" "&amp;BG31)))</f>
        <v>#VALUE!</v>
      </c>
      <c r="BN32" s="98" t="e">
        <f>100*IF(LN(BF32)&gt;0,IF(LN(AY32)-LN(BF32)&gt;0,1-TDIST((LN(AY32)-LN(BF32))/BX32,AZ32,1),TDIST((LN(BF32)-LN(AY32))/BX32,AZ32,1)),IF(LN(AY32)-LN(BF32)&gt;0,TDIST((LN(AY32)-LN(BF32))/BX32,AZ32,1),1-TDIST((LN(BF32)-LN(AY32))/BX32,AZ32,1)))</f>
        <v>#VALUE!</v>
      </c>
      <c r="BO32" s="99" t="s">
        <v>166</v>
      </c>
      <c r="BP32" s="100" t="e">
        <f>IF(BN32&lt;$BA$7,$AZ$7,IF(BN32&lt;$BC$7,$BB$7,IF(BN32&lt;$BE$7,$BD$7,IF(BN32&lt;$BG$7,$BF$7,IF(BN32&lt;$BI$7,$BH$7,IF(BN32&lt;$BK$7,$BJ$7,$BL$7))))))</f>
        <v>#VALUE!</v>
      </c>
      <c r="BQ32" s="101" t="e">
        <f>100-BN32-BT32</f>
        <v>#VALUE!</v>
      </c>
      <c r="BR32" s="99" t="s">
        <v>166</v>
      </c>
      <c r="BS32" s="100" t="e">
        <f>IF(BQ32&lt;$BA$7,$AZ$7,IF(BQ32&lt;$BC$7,$BB$7,IF(BQ32&lt;$BE$7,$BD$7,IF(BQ32&lt;$BG$7,$BF$7,IF(BQ32&lt;$BI$7,$BH$7,IF(BQ32&lt;$BK$7,$BJ$7,$BL$7))))))</f>
        <v>#VALUE!</v>
      </c>
      <c r="BT32" s="98" t="e">
        <f>100*IF(LN(BG32)&gt;0,IF(LN(AY32)-LN(BG32)&gt;0,1-TDIST((LN(AY32)-LN(BG32))/BX32,AZ32,1),TDIST((LN(BG32)-LN(AY32))/BX32,AZ32,1)),IF(LN(AY32)-LN(BG32)&gt;0,TDIST((LN(AY32)-LN(BG32))/BX32,AZ32,1),1-TDIST((LN(BG32)-LN(AY32))/BX32,AZ32,1)))</f>
        <v>#VALUE!</v>
      </c>
      <c r="BU32" s="99" t="s">
        <v>166</v>
      </c>
      <c r="BV32" s="100" t="e">
        <f>IF(BT32&lt;$BA$7,$AZ$7,IF(BT32&lt;$BC$7,$BB$7,IF(BT32&lt;$BE$7,$BD$7,IF(BT32&lt;$BG$7,$BF$7,IF(BT32&lt;$BI$7,$BH$7,IF(BT32&lt;$BK$7,$BJ$7,$BL$7))))))</f>
        <v>#VALUE!</v>
      </c>
      <c r="BW32" s="115" t="e">
        <f>BN32/(100-BN32)/(BT32/(100-BT32))</f>
        <v>#VALUE!</v>
      </c>
      <c r="BX32" s="105">
        <f>(LN(BB32)-LN(BA32))/2/TINV(1-BD32/100,AZ32)</f>
        <v>7.4275439174824084E-2</v>
      </c>
      <c r="BY32" s="24" t="str">
        <f>U32</f>
        <v>Mean Fwds/Backs</v>
      </c>
      <c r="BZ32" s="111">
        <f>AK32</f>
        <v>0.27076293241860777</v>
      </c>
      <c r="CA32" s="109">
        <f>F32</f>
        <v>62</v>
      </c>
      <c r="CB32" s="111">
        <f>AL32</f>
        <v>-0.22821447160996941</v>
      </c>
      <c r="CC32" s="111">
        <f>AM32</f>
        <v>0.76984212702328214</v>
      </c>
      <c r="CD32" s="111">
        <f>(CC32-CB32)/2</f>
        <v>0.49902829931662579</v>
      </c>
      <c r="CE32" s="109">
        <f>100*(1-I32)</f>
        <v>90</v>
      </c>
      <c r="CF32" s="102">
        <f>100-2*$BC$7</f>
        <v>90</v>
      </c>
      <c r="CG32" s="233" t="e">
        <f>$P$5*AN32+$Q$5*AO32</f>
        <v>#VALUE!</v>
      </c>
      <c r="CH32" s="233" t="e">
        <f>$Q$5*AN32+$P$5*AO32</f>
        <v>#VALUE!</v>
      </c>
      <c r="CI32" s="117">
        <f>BZ32</f>
        <v>0.27076293241860777</v>
      </c>
      <c r="CJ32" s="117">
        <f>BZ32-TINV((100-CF32)/100,CA32)*CY32</f>
        <v>-0.22826536689801802</v>
      </c>
      <c r="CK32" s="117">
        <f>BZ32+TINV((100-CF32)/100,CA32)*CY32</f>
        <v>0.76979123173523356</v>
      </c>
      <c r="CL32" s="117">
        <f>(CK32-CJ32)/2</f>
        <v>0.49902829931662579</v>
      </c>
      <c r="CM32" s="118" t="e">
        <f>IF(CO32&lt;$BE$7,IF(MAX(CR32,CU32)=CR32,CT32&amp;" trivial; don't use",CW32&amp;" harmful; don't use"),IF(CU32&lt;$BA$7,CQ32&amp;" beneficial; use","unclear; don't use"))</f>
        <v>#VALUE!</v>
      </c>
      <c r="CN32" s="118" t="e">
        <f>IF(MIN(CO32,CU32)&gt;$BC$7,"unclear",IF(MAX(CO32,CR32,CU32)=CO32,CQ32&amp;" "&amp;CG31,IF(MAX(CO32,CR32,CU32)=CR32,CT32&amp;" trivial",CW32&amp;" "&amp;CH31)))</f>
        <v>#VALUE!</v>
      </c>
      <c r="CO32" s="112" t="e">
        <f>100*IF(CG32&gt;0,IF(BZ32-CG32&gt;0,1-TDIST((BZ32-CG32)/CY32,CA32,1),TDIST((CG32-BZ32)/CY32,CA32,1)),IF(BZ32-CG32&gt;0,TDIST((BZ32-CG32)/CY32,CA32,1),1-TDIST((CG32-BZ32)/CY32,CA32,1)))</f>
        <v>#VALUE!</v>
      </c>
      <c r="CP32" s="113" t="s">
        <v>166</v>
      </c>
      <c r="CQ32" s="100" t="e">
        <f>IF(CO32&lt;$BA$7,$AZ$7,IF(CO32&lt;$BC$7,$BB$7,IF(CO32&lt;$BE$7,$BD$7,IF(CO32&lt;$BG$7,$BF$7,IF(CO32&lt;$BI$7,$BH$7,IF(CO32&lt;$BK$7,$BJ$7,$BL$7))))))</f>
        <v>#VALUE!</v>
      </c>
      <c r="CR32" s="114" t="e">
        <f>100-CO32-CU32</f>
        <v>#VALUE!</v>
      </c>
      <c r="CS32" s="113" t="s">
        <v>166</v>
      </c>
      <c r="CT32" s="100" t="e">
        <f>IF(CR32&lt;$BA$7,$AZ$7,IF(CR32&lt;$BC$7,$BB$7,IF(CR32&lt;$BE$7,$BD$7,IF(CR32&lt;$BG$7,$BF$7,IF(CR32&lt;$BI$7,$BH$7,IF(CR32&lt;$BK$7,$BJ$7,$BL$7))))))</f>
        <v>#VALUE!</v>
      </c>
      <c r="CU32" s="112" t="e">
        <f>100*IF(CH32&gt;0,IF(BZ32-CH32&gt;0,1-TDIST((BZ32-CH32)/CY32,CA32,1),TDIST((CH32-BZ32)/CY32,CA32,1)),IF(BZ32-CH32&gt;0,TDIST((BZ32-CH32)/CY32,CA32,1),1-TDIST((CH32-BZ32)/CY32,CA32,1)))</f>
        <v>#VALUE!</v>
      </c>
      <c r="CV32" s="113" t="s">
        <v>166</v>
      </c>
      <c r="CW32" s="100" t="e">
        <f>IF(CU32&lt;$BA$7,$AZ$7,IF(CU32&lt;$BC$7,$BB$7,IF(CU32&lt;$BE$7,$BD$7,IF(CU32&lt;$BG$7,$BF$7,IF(CU32&lt;$BI$7,$BH$7,IF(CU32&lt;$BK$7,$BJ$7,$BL$7))))))</f>
        <v>#VALUE!</v>
      </c>
      <c r="CX32" s="115" t="e">
        <f>CO32/(100-CO32)/(CU32/(100-CU32))</f>
        <v>#VALUE!</v>
      </c>
      <c r="CY32" s="105">
        <f>(CC32-CB32)/2/TINV(1-CE32/100,CA32)</f>
        <v>0.29885438695152144</v>
      </c>
      <c r="CZ32" s="24" t="str">
        <f>U32</f>
        <v>Mean Fwds/Backs</v>
      </c>
      <c r="DA32" s="116">
        <f>AQ32</f>
        <v>0.66414534753997057</v>
      </c>
      <c r="DB32" s="109">
        <f>F32</f>
        <v>62</v>
      </c>
      <c r="DC32" s="116">
        <f>AR32</f>
        <v>-0.55977434809956317</v>
      </c>
      <c r="DD32" s="116">
        <f>AS32</f>
        <v>1.8684468438393886</v>
      </c>
      <c r="DE32" s="116">
        <f>(DD32-DC32)/2</f>
        <v>1.2141105959694758</v>
      </c>
      <c r="DF32" s="109">
        <f>100*(1-I32)</f>
        <v>90</v>
      </c>
      <c r="DG32" s="102">
        <f>100-2*$BC$7</f>
        <v>90</v>
      </c>
      <c r="DH32" s="241" t="e">
        <f>$P$5*AU32+$Q$5*AV32</f>
        <v>#VALUE!</v>
      </c>
      <c r="DI32" s="241" t="e">
        <f>$Q$5*AU32+$P$5*AV32</f>
        <v>#VALUE!</v>
      </c>
      <c r="DJ32" s="104">
        <f>DA32</f>
        <v>0.66414534753997057</v>
      </c>
      <c r="DK32" s="104">
        <f>10*(2*SQRT(EXP(LN(((1+DA32/10)/(1-DA32/10))^2)-TINV((100-DG32)/100,DB32)*DZ32))/(1+SQRT(EXP(LN(((1+DA32/10)/(1-DA32/10))^2)-TINV((100-DG32)/100,DB32)*DZ32)))-1)</f>
        <v>-0.55979829604133946</v>
      </c>
      <c r="DL32" s="104">
        <f>10*(2*SQRT(EXP(LN(((1+DA32/10)/(1-DA32/10))^2)+TINV((100-DG32)/100,DB32)*DZ32))/(1+SQRT(EXP(LN(((1+DA32/10)/(1-DA32/10))^2)+TINV((100-DG32)/100,DB32)*DZ32)))-1)</f>
        <v>1.8684236592810022</v>
      </c>
      <c r="DM32" s="104">
        <f>(DL32-DK32)/2</f>
        <v>1.2141109776611709</v>
      </c>
      <c r="DN32" s="118" t="e">
        <f>IF(DP32&lt;$BE$7,IF(MAX(DS32,DV32)=DS32,DU32&amp;" trivial; don't use",DX32&amp;" harmful; don't use"),IF(DV32&lt;$BA$7,DR32&amp;" beneficial; use","unclear; don't use"))</f>
        <v>#VALUE!</v>
      </c>
      <c r="DO32" s="118" t="e">
        <f>IF(MIN(DP32,DV32)&gt;$BC$7,"unclear",IF(MAX(DP32,DS32,DV32)=DP32,DR32&amp;" "&amp;DH31,IF(MAX(DP32,DS32,DV32)=DS32,DU32&amp;" trivial",DX32&amp;" "&amp;DI31)))</f>
        <v>#VALUE!</v>
      </c>
      <c r="DP32" s="112" t="e">
        <f>100*IF(LN(((1+DH32/10)/(1-DH32/10))^2)&gt;0,IF(LN(((1+DA32/10)/(1-DA32/10))^2)-LN(((1+DH32/10)/(1-DH32/10))^2)&gt;0,1-TDIST((LN(((1+DA32/10)/(1-DA32/10))^2)-LN(((1+DH32/10)/(1-DH32/10))^2))/DZ32,DB32,1),TDIST((LN(((1+DH32/10)/(1-DH32/10))^2)-LN(((1+DA32/10)/(1-DA32/10))^2))/DZ32,DB32,1)),IF(LN(((1+DA32/10)/(1-DA32/10))^2)-LN(((1+DH32/10)/(1-DH32/10))^2)&gt;0,TDIST((LN(((1+DA32/10)/(1-DA32/10))^2)-LN(((1+DH32/10)/(1-DH32/10))^2))/DZ32,DB32,1),1-TDIST((LN(((1+DH32/10)/(1-DH32/10))^2)-LN(((1+DA32/10)/(1-DA32/10))^2))/DZ32,DB32,1)))</f>
        <v>#VALUE!</v>
      </c>
      <c r="DQ32" s="113" t="s">
        <v>166</v>
      </c>
      <c r="DR32" s="100" t="e">
        <f>IF(DP32&lt;$BA$7,$AZ$7,IF(DP32&lt;$BC$7,$BB$7,IF(DP32&lt;$BE$7,$BD$7,IF(DP32&lt;$BG$7,$BF$7,IF(DP32&lt;$BI$7,$BH$7,IF(DP32&lt;$BK$7,$BJ$7,$BL$7))))))</f>
        <v>#VALUE!</v>
      </c>
      <c r="DS32" s="114" t="e">
        <f>100-DP32-DV32</f>
        <v>#VALUE!</v>
      </c>
      <c r="DT32" s="113" t="s">
        <v>166</v>
      </c>
      <c r="DU32" s="100" t="e">
        <f>IF(DS32&lt;$BA$7,$AZ$7,IF(DS32&lt;$BC$7,$BB$7,IF(DS32&lt;$BE$7,$BD$7,IF(DS32&lt;$BG$7,$BF$7,IF(DS32&lt;$BI$7,$BH$7,IF(DS32&lt;$BK$7,$BJ$7,$BL$7))))))</f>
        <v>#VALUE!</v>
      </c>
      <c r="DV32" s="112" t="e">
        <f>100*IF(LN(((1+DI32/10)/(1-DI32/10))^2)&gt;0,IF(LN(((1+DA32/10)/(1-DA32/10))^2)-LN(((1+DI32/10)/(1-DI32/10))^2)&gt;0,1-TDIST((LN(((1+DA32/10)/(1-DA32/10))^2)-LN(((1+DI32/10)/(1-DI32/10))^2))/DZ32,DB32,1),TDIST((LN(((1+DI32/10)/(1-DI32/10))^2)-LN(((1+DA32/10)/(1-DA32/10))^2))/DZ32,DB32,1)),IF(LN(((1+DA32/10)/(1-DA32/10))^2)-LN(((1+DI32/10)/(1-DI32/10))^2)&gt;0,TDIST((LN(((1+DA32/10)/(1-DA32/10))^2)-LN(((1+DI32/10)/(1-DI32/10))^2))/DZ32,DB32,1),1-TDIST((LN(((1+DI32/10)/(1-DI32/10))^2)-LN(((1+DA32/10)/(1-DA32/10))^2))/DZ32,DB32,1)))</f>
        <v>#VALUE!</v>
      </c>
      <c r="DW32" s="113" t="s">
        <v>166</v>
      </c>
      <c r="DX32" s="100" t="e">
        <f>IF(DV32&lt;$BA$7,$AZ$7,IF(DV32&lt;$BC$7,$BB$7,IF(DV32&lt;$BE$7,$BD$7,IF(DV32&lt;$BG$7,$BF$7,IF(DV32&lt;$BI$7,$BH$7,IF(DV32&lt;$BK$7,$BJ$7,$BL$7))))))</f>
        <v>#VALUE!</v>
      </c>
      <c r="DY32" s="115" t="e">
        <f>DP32/(100-DP32)/(DV32/(100-DV32))</f>
        <v>#VALUE!</v>
      </c>
      <c r="DZ32" s="105">
        <f>(LN(((1+DD32/10)/(1-DD32/10))^2)-LN(((1+DC32/10)/(1-DC32/10))^2))/2/TINV(1-DF32/100,DB32)</f>
        <v>0.29356941626223831</v>
      </c>
    </row>
    <row r="33" spans="3:130" ht="15.65" customHeight="1" x14ac:dyDescent="0.3">
      <c r="C33" s="44"/>
      <c r="D33" s="1">
        <v>0</v>
      </c>
      <c r="E33" s="30" t="s">
        <v>64</v>
      </c>
      <c r="F33" s="30" t="s">
        <v>64</v>
      </c>
      <c r="G33" s="30" t="s">
        <v>64</v>
      </c>
      <c r="H33" s="30" t="s">
        <v>64</v>
      </c>
      <c r="I33" s="30" t="s">
        <v>64</v>
      </c>
      <c r="J33" s="30" t="s">
        <v>64</v>
      </c>
      <c r="K33" s="31" t="s">
        <v>64</v>
      </c>
      <c r="L33" s="30" t="s">
        <v>64</v>
      </c>
      <c r="M33" s="30" t="s">
        <v>64</v>
      </c>
      <c r="N33" s="30" t="s">
        <v>64</v>
      </c>
      <c r="P33" s="26"/>
      <c r="Q33" s="46"/>
      <c r="R33" s="51"/>
      <c r="S33" s="51"/>
      <c r="T33" s="51"/>
      <c r="U33" s="18"/>
      <c r="Z33" s="5"/>
      <c r="AA33" s="5"/>
      <c r="AC33" s="5"/>
      <c r="AD33" s="5"/>
      <c r="AE33" s="7"/>
      <c r="AF33" s="5"/>
      <c r="AG33" s="5"/>
      <c r="AH33" s="5"/>
      <c r="AI33" s="8"/>
      <c r="AJ33" s="5"/>
      <c r="AK33" s="5"/>
      <c r="AL33" s="5"/>
      <c r="AM33" s="5"/>
      <c r="AN33" s="9"/>
      <c r="AO33" s="5"/>
      <c r="AS33" s="33"/>
      <c r="AT33" s="50"/>
      <c r="AU33" s="5"/>
      <c r="AV33" s="5"/>
      <c r="AY33" s="266" t="s">
        <v>170</v>
      </c>
      <c r="AZ33" s="267"/>
      <c r="BA33" s="267"/>
      <c r="BB33" s="267"/>
      <c r="BC33" s="267"/>
      <c r="BD33" s="267"/>
      <c r="BE33" s="268"/>
      <c r="BF33" s="277" t="s">
        <v>208</v>
      </c>
      <c r="BG33" s="278"/>
      <c r="BH33" s="281" t="s">
        <v>174</v>
      </c>
      <c r="BI33" s="282"/>
      <c r="BJ33" s="282"/>
      <c r="BK33" s="282"/>
      <c r="BL33" s="282"/>
      <c r="BM33" s="283"/>
      <c r="BN33" s="284" t="s">
        <v>150</v>
      </c>
      <c r="BO33" s="285"/>
      <c r="BP33" s="285"/>
      <c r="BQ33" s="285"/>
      <c r="BR33" s="285"/>
      <c r="BS33" s="285"/>
      <c r="BT33" s="285"/>
      <c r="BU33" s="285"/>
      <c r="BV33" s="286"/>
      <c r="BZ33" s="266" t="s">
        <v>169</v>
      </c>
      <c r="CA33" s="267"/>
      <c r="CB33" s="267"/>
      <c r="CC33" s="267"/>
      <c r="CD33" s="267"/>
      <c r="CE33" s="267"/>
      <c r="CF33" s="268"/>
      <c r="CG33" s="277" t="s">
        <v>208</v>
      </c>
      <c r="CH33" s="278"/>
      <c r="CI33" s="281" t="s">
        <v>180</v>
      </c>
      <c r="CJ33" s="282"/>
      <c r="CK33" s="282"/>
      <c r="CL33" s="282"/>
      <c r="CM33" s="282"/>
      <c r="CN33" s="283"/>
      <c r="CO33" s="284" t="s">
        <v>150</v>
      </c>
      <c r="CP33" s="285"/>
      <c r="CQ33" s="285"/>
      <c r="CR33" s="285"/>
      <c r="CS33" s="285"/>
      <c r="CT33" s="285"/>
      <c r="CU33" s="285"/>
      <c r="CV33" s="285"/>
      <c r="CW33" s="286"/>
      <c r="DA33" s="266" t="s">
        <v>173</v>
      </c>
      <c r="DB33" s="267"/>
      <c r="DC33" s="267"/>
      <c r="DD33" s="267"/>
      <c r="DE33" s="267"/>
      <c r="DF33" s="267"/>
      <c r="DG33" s="268"/>
      <c r="DH33" s="277" t="s">
        <v>208</v>
      </c>
      <c r="DI33" s="278"/>
      <c r="DJ33" s="281" t="s">
        <v>199</v>
      </c>
      <c r="DK33" s="282"/>
      <c r="DL33" s="282"/>
      <c r="DM33" s="282"/>
      <c r="DN33" s="282"/>
      <c r="DO33" s="283"/>
      <c r="DP33" s="284" t="s">
        <v>150</v>
      </c>
      <c r="DQ33" s="285"/>
      <c r="DR33" s="285"/>
      <c r="DS33" s="285"/>
      <c r="DT33" s="285"/>
      <c r="DU33" s="285"/>
      <c r="DV33" s="285"/>
      <c r="DW33" s="285"/>
      <c r="DX33" s="286"/>
    </row>
    <row r="34" spans="3:130" ht="14.4" customHeight="1" x14ac:dyDescent="0.3">
      <c r="C34" s="44" t="s">
        <v>41</v>
      </c>
      <c r="D34" s="1">
        <v>0.9708</v>
      </c>
      <c r="E34" s="1">
        <v>0.33019999999999999</v>
      </c>
      <c r="F34" s="1">
        <v>62</v>
      </c>
      <c r="G34" s="1">
        <v>2.94</v>
      </c>
      <c r="H34" s="1">
        <v>4.5999999999999999E-3</v>
      </c>
      <c r="I34" s="1">
        <v>0.1</v>
      </c>
      <c r="J34" s="1">
        <v>0.4194</v>
      </c>
      <c r="K34" s="1">
        <v>1.5223</v>
      </c>
      <c r="L34" s="1">
        <v>2.6400999999999999</v>
      </c>
      <c r="M34" s="1">
        <v>1.5209999999999999</v>
      </c>
      <c r="N34" s="1">
        <v>4.5824999999999996</v>
      </c>
      <c r="P34" s="5"/>
      <c r="Q34" s="27" t="str">
        <f>C34</f>
        <v>Mean @ Week 1</v>
      </c>
      <c r="R34" s="4">
        <f>L34/(1+L34)</f>
        <v>0.72528227246504218</v>
      </c>
      <c r="S34" s="4"/>
      <c r="T34" s="4"/>
      <c r="U34" s="26" t="str">
        <f>IF(ISBLANK(C33),"",C33)</f>
        <v/>
      </c>
      <c r="V34" s="4"/>
      <c r="W34" s="5"/>
      <c r="X34" s="59" t="s">
        <v>195</v>
      </c>
      <c r="Y34" s="8"/>
      <c r="Z34" s="5"/>
      <c r="AA34" s="5"/>
      <c r="AC34" s="5"/>
      <c r="AD34" s="5"/>
      <c r="AE34" s="8" t="s">
        <v>191</v>
      </c>
      <c r="AF34" s="4"/>
      <c r="AG34" s="4"/>
      <c r="AH34" s="4"/>
      <c r="AI34" s="4" t="s">
        <v>75</v>
      </c>
      <c r="AJ34" s="5"/>
      <c r="AK34" s="55"/>
      <c r="AL34" s="55"/>
      <c r="AM34" s="59" t="s">
        <v>193</v>
      </c>
      <c r="AN34" s="55"/>
      <c r="AO34" s="55"/>
      <c r="AQ34" s="5"/>
      <c r="AR34" s="5"/>
      <c r="AS34" s="8" t="s">
        <v>184</v>
      </c>
      <c r="AT34" s="8"/>
      <c r="AU34" s="5"/>
      <c r="AV34" s="5"/>
      <c r="AY34" s="269" t="s">
        <v>175</v>
      </c>
      <c r="AZ34" s="271" t="s">
        <v>152</v>
      </c>
      <c r="BA34" s="273" t="s">
        <v>153</v>
      </c>
      <c r="BB34" s="274"/>
      <c r="BC34" s="275"/>
      <c r="BD34" s="306" t="s">
        <v>154</v>
      </c>
      <c r="BE34" s="307"/>
      <c r="BF34" s="106" t="s">
        <v>171</v>
      </c>
      <c r="BG34" s="107" t="s">
        <v>172</v>
      </c>
      <c r="BH34" s="273" t="str">
        <f>"Effect &amp; re-estimated "&amp;BE36&amp;"% confidence limits"</f>
        <v>Effect &amp; re-estimated 90% confidence limits</v>
      </c>
      <c r="BI34" s="274"/>
      <c r="BJ34" s="274"/>
      <c r="BK34" s="275"/>
      <c r="BL34" s="277" t="s">
        <v>155</v>
      </c>
      <c r="BM34" s="278"/>
      <c r="BN34" s="287" t="e">
        <f>"...beneficial or
substantially "&amp;BF35</f>
        <v>#VALUE!</v>
      </c>
      <c r="BO34" s="288"/>
      <c r="BP34" s="289"/>
      <c r="BQ34" s="311" t="s">
        <v>156</v>
      </c>
      <c r="BR34" s="293"/>
      <c r="BS34" s="294"/>
      <c r="BT34" s="297" t="e">
        <f>"...harmful or 
substantially "&amp;BG35</f>
        <v>#VALUE!</v>
      </c>
      <c r="BU34" s="298"/>
      <c r="BV34" s="299"/>
      <c r="BW34" s="303" t="s">
        <v>157</v>
      </c>
      <c r="BZ34" s="269" t="s">
        <v>151</v>
      </c>
      <c r="CA34" s="271" t="s">
        <v>152</v>
      </c>
      <c r="CB34" s="273" t="s">
        <v>153</v>
      </c>
      <c r="CC34" s="274"/>
      <c r="CD34" s="275"/>
      <c r="CE34" s="306" t="s">
        <v>154</v>
      </c>
      <c r="CF34" s="307"/>
      <c r="CG34" s="231" t="s">
        <v>171</v>
      </c>
      <c r="CH34" s="232" t="s">
        <v>172</v>
      </c>
      <c r="CI34" s="273" t="str">
        <f>"Effect &amp; re-estimated "&amp;CF36&amp;"% confidence limits"</f>
        <v>Effect &amp; re-estimated 90% confidence limits</v>
      </c>
      <c r="CJ34" s="274"/>
      <c r="CK34" s="274"/>
      <c r="CL34" s="275"/>
      <c r="CM34" s="277" t="s">
        <v>155</v>
      </c>
      <c r="CN34" s="278"/>
      <c r="CO34" s="287" t="e">
        <f>"...beneficial or
substantially "&amp;CG35</f>
        <v>#VALUE!</v>
      </c>
      <c r="CP34" s="288"/>
      <c r="CQ34" s="289"/>
      <c r="CR34" s="311" t="s">
        <v>156</v>
      </c>
      <c r="CS34" s="293"/>
      <c r="CT34" s="294"/>
      <c r="CU34" s="297" t="e">
        <f>"...harmful or 
substantially "&amp;CH35</f>
        <v>#VALUE!</v>
      </c>
      <c r="CV34" s="298"/>
      <c r="CW34" s="299"/>
      <c r="CX34" s="303" t="s">
        <v>157</v>
      </c>
      <c r="DA34" s="269" t="s">
        <v>151</v>
      </c>
      <c r="DB34" s="271" t="s">
        <v>152</v>
      </c>
      <c r="DC34" s="273" t="s">
        <v>153</v>
      </c>
      <c r="DD34" s="274"/>
      <c r="DE34" s="275"/>
      <c r="DF34" s="306" t="s">
        <v>154</v>
      </c>
      <c r="DG34" s="307"/>
      <c r="DH34" s="231" t="s">
        <v>171</v>
      </c>
      <c r="DI34" s="232" t="s">
        <v>172</v>
      </c>
      <c r="DJ34" s="273" t="str">
        <f>"Effect &amp; re-estimated "&amp;DG36&amp;"% confidence limits"</f>
        <v>Effect &amp; re-estimated 90% confidence limits</v>
      </c>
      <c r="DK34" s="274"/>
      <c r="DL34" s="274"/>
      <c r="DM34" s="275"/>
      <c r="DN34" s="277" t="s">
        <v>155</v>
      </c>
      <c r="DO34" s="278"/>
      <c r="DP34" s="287" t="e">
        <f>"...beneficial or
substantially "&amp;DH35</f>
        <v>#VALUE!</v>
      </c>
      <c r="DQ34" s="288"/>
      <c r="DR34" s="289"/>
      <c r="DS34" s="311" t="s">
        <v>156</v>
      </c>
      <c r="DT34" s="293"/>
      <c r="DU34" s="294"/>
      <c r="DV34" s="297" t="e">
        <f>"...harmful or 
substantially "&amp;DI35</f>
        <v>#VALUE!</v>
      </c>
      <c r="DW34" s="298"/>
      <c r="DX34" s="299"/>
      <c r="DY34" s="303" t="s">
        <v>157</v>
      </c>
    </row>
    <row r="35" spans="3:130" ht="14.4" customHeight="1" x14ac:dyDescent="0.3">
      <c r="C35" s="44" t="s">
        <v>42</v>
      </c>
      <c r="D35" s="1">
        <v>1.1862999999999999</v>
      </c>
      <c r="E35" s="1">
        <v>0.33410000000000001</v>
      </c>
      <c r="F35" s="1">
        <v>62</v>
      </c>
      <c r="G35" s="1">
        <v>3.55</v>
      </c>
      <c r="H35" s="1">
        <v>6.9999999999999999E-4</v>
      </c>
      <c r="I35" s="1">
        <v>0.1</v>
      </c>
      <c r="J35" s="1">
        <v>0.62839999999999996</v>
      </c>
      <c r="K35" s="1">
        <v>1.7442</v>
      </c>
      <c r="L35" s="1">
        <v>3.2749000000000001</v>
      </c>
      <c r="M35" s="1">
        <v>1.8745000000000001</v>
      </c>
      <c r="N35" s="1">
        <v>5.7213000000000003</v>
      </c>
      <c r="P35" s="5"/>
      <c r="Q35" s="27" t="str">
        <f>C35</f>
        <v>Mean @ Week 6</v>
      </c>
      <c r="R35" s="4">
        <f>L35/(1+L35)</f>
        <v>0.76607639944794026</v>
      </c>
      <c r="S35" s="4"/>
      <c r="T35" s="4"/>
      <c r="U35" s="14"/>
      <c r="V35" s="60" t="s">
        <v>2</v>
      </c>
      <c r="W35" s="60" t="s">
        <v>12</v>
      </c>
      <c r="X35" s="60" t="s">
        <v>13</v>
      </c>
      <c r="Y35" s="77" t="s">
        <v>141</v>
      </c>
      <c r="Z35" s="60" t="s">
        <v>61</v>
      </c>
      <c r="AA35" s="60" t="s">
        <v>60</v>
      </c>
      <c r="AC35" s="60" t="s">
        <v>2</v>
      </c>
      <c r="AD35" s="60" t="s">
        <v>12</v>
      </c>
      <c r="AE35" s="60" t="s">
        <v>13</v>
      </c>
      <c r="AF35" s="60" t="s">
        <v>61</v>
      </c>
      <c r="AG35" s="60" t="s">
        <v>60</v>
      </c>
      <c r="AH35" s="60"/>
      <c r="AI35" s="61" t="s">
        <v>83</v>
      </c>
      <c r="AJ35" s="5"/>
      <c r="AK35" s="60" t="s">
        <v>2</v>
      </c>
      <c r="AL35" s="60" t="s">
        <v>12</v>
      </c>
      <c r="AM35" s="60" t="s">
        <v>13</v>
      </c>
      <c r="AN35" s="62" t="s">
        <v>61</v>
      </c>
      <c r="AO35" s="62" t="s">
        <v>60</v>
      </c>
      <c r="AQ35" s="60" t="s">
        <v>2</v>
      </c>
      <c r="AR35" s="60" t="s">
        <v>12</v>
      </c>
      <c r="AS35" s="60" t="s">
        <v>13</v>
      </c>
      <c r="AT35" s="60" t="s">
        <v>139</v>
      </c>
      <c r="AU35" s="62" t="s">
        <v>61</v>
      </c>
      <c r="AV35" s="62" t="s">
        <v>60</v>
      </c>
      <c r="AY35" s="270"/>
      <c r="AZ35" s="305"/>
      <c r="BA35" s="87" t="s">
        <v>158</v>
      </c>
      <c r="BB35" s="88" t="s">
        <v>159</v>
      </c>
      <c r="BC35" s="93" t="s">
        <v>168</v>
      </c>
      <c r="BD35" s="89" t="s">
        <v>160</v>
      </c>
      <c r="BE35" s="90" t="s">
        <v>161</v>
      </c>
      <c r="BF35" s="91" t="e">
        <f>IF(BF36&lt;1,"decr.","incr.")</f>
        <v>#VALUE!</v>
      </c>
      <c r="BG35" s="92" t="e">
        <f>IF(BG36&gt;1,"incr.","decr.")</f>
        <v>#VALUE!</v>
      </c>
      <c r="BH35" s="83" t="s">
        <v>17</v>
      </c>
      <c r="BI35" s="90" t="s">
        <v>162</v>
      </c>
      <c r="BJ35" s="90" t="s">
        <v>163</v>
      </c>
      <c r="BK35" s="93" t="s">
        <v>168</v>
      </c>
      <c r="BL35" s="94" t="s">
        <v>164</v>
      </c>
      <c r="BM35" s="95" t="s">
        <v>165</v>
      </c>
      <c r="BN35" s="308"/>
      <c r="BO35" s="309"/>
      <c r="BP35" s="310"/>
      <c r="BQ35" s="312"/>
      <c r="BR35" s="313"/>
      <c r="BS35" s="314"/>
      <c r="BT35" s="315"/>
      <c r="BU35" s="316"/>
      <c r="BV35" s="317"/>
      <c r="BW35" s="304"/>
      <c r="BX35" s="97" t="s">
        <v>167</v>
      </c>
      <c r="BZ35" s="270"/>
      <c r="CA35" s="305"/>
      <c r="CB35" s="87" t="s">
        <v>158</v>
      </c>
      <c r="CC35" s="88" t="s">
        <v>159</v>
      </c>
      <c r="CD35" s="93" t="s">
        <v>138</v>
      </c>
      <c r="CE35" s="89" t="s">
        <v>160</v>
      </c>
      <c r="CF35" s="90" t="s">
        <v>161</v>
      </c>
      <c r="CG35" s="217" t="e">
        <f t="shared" ref="CG35" si="9">IF(CG36&lt;0,"decr.","incr.")</f>
        <v>#VALUE!</v>
      </c>
      <c r="CH35" s="218" t="e">
        <f t="shared" ref="CH35" si="10">IF(CH36&gt;0,"incr.","decr.")</f>
        <v>#VALUE!</v>
      </c>
      <c r="CI35" s="83" t="s">
        <v>17</v>
      </c>
      <c r="CJ35" s="90" t="s">
        <v>162</v>
      </c>
      <c r="CK35" s="90" t="s">
        <v>163</v>
      </c>
      <c r="CL35" s="93" t="s">
        <v>138</v>
      </c>
      <c r="CM35" s="94" t="s">
        <v>164</v>
      </c>
      <c r="CN35" s="95" t="s">
        <v>165</v>
      </c>
      <c r="CO35" s="308"/>
      <c r="CP35" s="309"/>
      <c r="CQ35" s="310"/>
      <c r="CR35" s="312"/>
      <c r="CS35" s="313"/>
      <c r="CT35" s="314"/>
      <c r="CU35" s="315"/>
      <c r="CV35" s="316"/>
      <c r="CW35" s="317"/>
      <c r="CX35" s="304"/>
      <c r="CY35" s="96" t="s">
        <v>167</v>
      </c>
      <c r="DA35" s="270"/>
      <c r="DB35" s="305"/>
      <c r="DC35" s="87" t="s">
        <v>158</v>
      </c>
      <c r="DD35" s="88" t="s">
        <v>159</v>
      </c>
      <c r="DE35" s="93" t="s">
        <v>138</v>
      </c>
      <c r="DF35" s="89" t="s">
        <v>160</v>
      </c>
      <c r="DG35" s="90" t="s">
        <v>161</v>
      </c>
      <c r="DH35" s="217" t="e">
        <f t="shared" ref="DH35" si="11">IF(DH36&lt;0,"decr.","incr.")</f>
        <v>#VALUE!</v>
      </c>
      <c r="DI35" s="218" t="e">
        <f t="shared" ref="DI35" si="12">IF(DI36&gt;0,"incr.","decr.")</f>
        <v>#VALUE!</v>
      </c>
      <c r="DJ35" s="83" t="s">
        <v>17</v>
      </c>
      <c r="DK35" s="90" t="s">
        <v>162</v>
      </c>
      <c r="DL35" s="90" t="s">
        <v>163</v>
      </c>
      <c r="DM35" s="93" t="s">
        <v>138</v>
      </c>
      <c r="DN35" s="94" t="s">
        <v>164</v>
      </c>
      <c r="DO35" s="95" t="s">
        <v>165</v>
      </c>
      <c r="DP35" s="308"/>
      <c r="DQ35" s="309"/>
      <c r="DR35" s="310"/>
      <c r="DS35" s="312"/>
      <c r="DT35" s="313"/>
      <c r="DU35" s="314"/>
      <c r="DV35" s="315"/>
      <c r="DW35" s="316"/>
      <c r="DX35" s="317"/>
      <c r="DY35" s="304"/>
      <c r="DZ35" s="96" t="s">
        <v>167</v>
      </c>
    </row>
    <row r="36" spans="3:130" x14ac:dyDescent="0.3">
      <c r="C36" s="44" t="s">
        <v>80</v>
      </c>
      <c r="D36" s="12">
        <v>0.2155</v>
      </c>
      <c r="E36" s="1">
        <v>0.51380000000000003</v>
      </c>
      <c r="F36" s="1">
        <v>62</v>
      </c>
      <c r="G36" s="12">
        <v>0.42</v>
      </c>
      <c r="H36" s="1">
        <v>0.6764</v>
      </c>
      <c r="I36" s="1">
        <v>0.1</v>
      </c>
      <c r="J36" s="12">
        <v>-0.64249999999999996</v>
      </c>
      <c r="K36" s="1">
        <v>1.0733999999999999</v>
      </c>
      <c r="L36" s="1">
        <v>1.2403999999999999</v>
      </c>
      <c r="M36" s="1">
        <v>0.52600000000000002</v>
      </c>
      <c r="N36" s="1">
        <v>2.9253</v>
      </c>
      <c r="P36" s="5"/>
      <c r="R36" s="5"/>
      <c r="S36" s="5"/>
      <c r="T36" s="5"/>
      <c r="U36" s="26" t="str">
        <f>C36</f>
        <v>Week 6/Week 1</v>
      </c>
      <c r="V36" s="48">
        <f>L34*L36/(1+L34*L36)/R34</f>
        <v>1.0562368116606065</v>
      </c>
      <c r="W36" s="48">
        <f>EXP(LN(V36)-_xlfn.T.INV.2T(I36,F36)*ABS(LN(V36))/ABS(G36))</f>
        <v>0.84975343077188992</v>
      </c>
      <c r="X36" s="48">
        <f>EXP(LN(V36)+_xlfn.T.INV.2T(I36,F36)*ABS(LN(V36))/ABS(G36))</f>
        <v>1.3128940253804608</v>
      </c>
      <c r="Y36" s="48">
        <f>SQRT(X36/W36)</f>
        <v>1.2429921120779157</v>
      </c>
      <c r="Z36" s="4">
        <f>$V$26</f>
        <v>0.9</v>
      </c>
      <c r="AA36" s="4">
        <f>$V$27</f>
        <v>1.1111111111111112</v>
      </c>
      <c r="AC36" s="4">
        <f>D36</f>
        <v>0.2155</v>
      </c>
      <c r="AD36" s="4">
        <f>J36</f>
        <v>-0.64249999999999996</v>
      </c>
      <c r="AE36" s="4">
        <f>K36</f>
        <v>1.0733999999999999</v>
      </c>
      <c r="AF36" s="4">
        <f>LN(Z36*R34/(1-Z36*R34)/L34)</f>
        <v>-0.339649722743602</v>
      </c>
      <c r="AG36" s="4">
        <f>LN(AA36*R34/(1-AA36*R34)/L34)</f>
        <v>0.45257243903606725</v>
      </c>
      <c r="AH36" s="4"/>
      <c r="AI36" s="4">
        <f>SQRT($D$11+$D$13*(1/($H$4*$R34)+1/($H$4*(1-$R34))))</f>
        <v>0.98717100645648082</v>
      </c>
      <c r="AJ36" s="5"/>
      <c r="AK36" s="4">
        <f>AC36/AI36</f>
        <v>0.21830057668888825</v>
      </c>
      <c r="AL36" s="4">
        <f>AD36/AI36</f>
        <v>-0.65084974720469002</v>
      </c>
      <c r="AM36" s="4">
        <f>AE36/AI36</f>
        <v>1.0873496010109172</v>
      </c>
      <c r="AN36" s="143">
        <f>$AK$26</f>
        <v>-0.2</v>
      </c>
      <c r="AO36" s="143">
        <f>$AK$27</f>
        <v>0.2</v>
      </c>
      <c r="AQ36" s="50">
        <f>10*(2*SQRT(L36)/(1+SQRT(L36))-1)</f>
        <v>0.5380646101440667</v>
      </c>
      <c r="AR36" s="50">
        <f>10*(2*SQRT(M36)/(1+SQRT(M36))-1)</f>
        <v>-1.5924652076476864</v>
      </c>
      <c r="AS36" s="50">
        <f>10*(2*SQRT(N36)/(1+SQRT(N36))-1)</f>
        <v>2.6208815124719664</v>
      </c>
      <c r="AT36" s="50">
        <f>(AS36-AR36)/2</f>
        <v>2.1066733600598262</v>
      </c>
      <c r="AU36" s="10">
        <f>$AQ$26</f>
        <v>-1</v>
      </c>
      <c r="AV36" s="10">
        <f>$AQ$27</f>
        <v>1</v>
      </c>
      <c r="AW36" s="6" t="str">
        <f>U36</f>
        <v>Week 6/Week 1</v>
      </c>
      <c r="AY36" s="108">
        <f>V36</f>
        <v>1.0562368116606065</v>
      </c>
      <c r="AZ36" s="109">
        <f>F36</f>
        <v>62</v>
      </c>
      <c r="BA36" s="108">
        <f>W36</f>
        <v>0.84975343077188992</v>
      </c>
      <c r="BB36" s="108">
        <f>X36</f>
        <v>1.3128940253804608</v>
      </c>
      <c r="BC36" s="108">
        <f>SQRT(BB36/BA36)</f>
        <v>1.2429921120779157</v>
      </c>
      <c r="BD36" s="110">
        <f>100*(1-I36)</f>
        <v>90</v>
      </c>
      <c r="BE36" s="102">
        <f>100-2*$BC$7</f>
        <v>90</v>
      </c>
      <c r="BF36" s="108" t="e">
        <f>$P$5*Z36+$Q$5*AA36</f>
        <v>#VALUE!</v>
      </c>
      <c r="BG36" s="108" t="e">
        <f>$Q$5*Z36+$P$5*AA36</f>
        <v>#VALUE!</v>
      </c>
      <c r="BH36" s="103">
        <f>AY36</f>
        <v>1.0562368116606065</v>
      </c>
      <c r="BI36" s="103">
        <f>EXP(LN(AY36)-TINV((100-BE36)/100,AZ36)*BX36)</f>
        <v>0.84975343077188992</v>
      </c>
      <c r="BJ36" s="103">
        <f>EXP(LN(AY36)+TINV((100-BE36)/100,AZ36)*BX36)</f>
        <v>1.3128940253804608</v>
      </c>
      <c r="BK36" s="103">
        <f>SQRT(BJ36/BI36)</f>
        <v>1.2429921120779157</v>
      </c>
      <c r="BL36" s="118" t="e">
        <f>IF(BN36&lt;$BE$7,IF(MAX(BQ36,BT36)=BQ36,BS36&amp;" trivial; don't use",BV36&amp;" harmful; don't use"),IF(BT36&lt;$BA$7,BP36&amp;" beneficial; use","unclear; don't use"))</f>
        <v>#VALUE!</v>
      </c>
      <c r="BM36" s="118" t="e">
        <f>IF(MIN(BN36,BT36)&gt;$BC$7,"unclear",IF(MAX(BN36,BQ36,BT36)=BN36,BP36&amp;" "&amp;BF35,IF(MAX(BN36,BQ36,BT36)=BQ36,BS36&amp;" trivial",BV36&amp;" "&amp;BG35)))</f>
        <v>#VALUE!</v>
      </c>
      <c r="BN36" s="98" t="e">
        <f>100*IF(LN(BF36)&gt;0,IF(LN(AY36)-LN(BF36)&gt;0,1-TDIST((LN(AY36)-LN(BF36))/BX36,AZ36,1),TDIST((LN(BF36)-LN(AY36))/BX36,AZ36,1)),IF(LN(AY36)-LN(BF36)&gt;0,TDIST((LN(AY36)-LN(BF36))/BX36,AZ36,1),1-TDIST((LN(BF36)-LN(AY36))/BX36,AZ36,1)))</f>
        <v>#VALUE!</v>
      </c>
      <c r="BO36" s="99" t="s">
        <v>166</v>
      </c>
      <c r="BP36" s="100" t="e">
        <f>IF(BN36&lt;$BA$7,$AZ$7,IF(BN36&lt;$BC$7,$BB$7,IF(BN36&lt;$BE$7,$BD$7,IF(BN36&lt;$BG$7,$BF$7,IF(BN36&lt;$BI$7,$BH$7,IF(BN36&lt;$BK$7,$BJ$7,$BL$7))))))</f>
        <v>#VALUE!</v>
      </c>
      <c r="BQ36" s="101" t="e">
        <f>100-BN36-BT36</f>
        <v>#VALUE!</v>
      </c>
      <c r="BR36" s="99" t="s">
        <v>166</v>
      </c>
      <c r="BS36" s="100" t="e">
        <f>IF(BQ36&lt;$BA$7,$AZ$7,IF(BQ36&lt;$BC$7,$BB$7,IF(BQ36&lt;$BE$7,$BD$7,IF(BQ36&lt;$BG$7,$BF$7,IF(BQ36&lt;$BI$7,$BH$7,IF(BQ36&lt;$BK$7,$BJ$7,$BL$7))))))</f>
        <v>#VALUE!</v>
      </c>
      <c r="BT36" s="98" t="e">
        <f>100*IF(LN(BG36)&gt;0,IF(LN(AY36)-LN(BG36)&gt;0,1-TDIST((LN(AY36)-LN(BG36))/BX36,AZ36,1),TDIST((LN(BG36)-LN(AY36))/BX36,AZ36,1)),IF(LN(AY36)-LN(BG36)&gt;0,TDIST((LN(AY36)-LN(BG36))/BX36,AZ36,1),1-TDIST((LN(BG36)-LN(AY36))/BX36,AZ36,1)))</f>
        <v>#VALUE!</v>
      </c>
      <c r="BU36" s="99" t="s">
        <v>166</v>
      </c>
      <c r="BV36" s="100" t="e">
        <f>IF(BT36&lt;$BA$7,$AZ$7,IF(BT36&lt;$BC$7,$BB$7,IF(BT36&lt;$BE$7,$BD$7,IF(BT36&lt;$BG$7,$BF$7,IF(BT36&lt;$BI$7,$BH$7,IF(BT36&lt;$BK$7,$BJ$7,$BL$7))))))</f>
        <v>#VALUE!</v>
      </c>
      <c r="BW36" s="115" t="e">
        <f>BN36/(100-BN36)/(BT36/(100-BT36))</f>
        <v>#VALUE!</v>
      </c>
      <c r="BX36" s="105">
        <f>(LN(BB36)-LN(BA36))/2/TINV(1-BD36/100,AZ36)</f>
        <v>0.13026765145119781</v>
      </c>
      <c r="BY36" s="24" t="str">
        <f>U36</f>
        <v>Week 6/Week 1</v>
      </c>
      <c r="BZ36" s="111">
        <f>AK36</f>
        <v>0.21830057668888825</v>
      </c>
      <c r="CA36" s="109">
        <f>F36</f>
        <v>62</v>
      </c>
      <c r="CB36" s="111">
        <f>AL36</f>
        <v>-0.65084974720469002</v>
      </c>
      <c r="CC36" s="111">
        <f>AM36</f>
        <v>1.0873496010109172</v>
      </c>
      <c r="CD36" s="111">
        <f>(CC36-CB36)/2</f>
        <v>0.86909967410780364</v>
      </c>
      <c r="CE36" s="109">
        <f>100*(1-I36)</f>
        <v>90</v>
      </c>
      <c r="CF36" s="102">
        <f>100-2*$BC$7</f>
        <v>90</v>
      </c>
      <c r="CG36" s="233" t="e">
        <f t="shared" ref="CG36" si="13">$P$5*AN36+$Q$5*AO36</f>
        <v>#VALUE!</v>
      </c>
      <c r="CH36" s="233" t="e">
        <f t="shared" ref="CH36" si="14">$Q$5*AN36+$P$5*AO36</f>
        <v>#VALUE!</v>
      </c>
      <c r="CI36" s="117">
        <f>BZ36</f>
        <v>0.21830057668888825</v>
      </c>
      <c r="CJ36" s="117">
        <f>BZ36-TINV((100-CF36)/100,CA36)*CY36</f>
        <v>-0.6507990974189154</v>
      </c>
      <c r="CK36" s="117">
        <f>BZ36+TINV((100-CF36)/100,CA36)*CY36</f>
        <v>1.087400250796692</v>
      </c>
      <c r="CL36" s="117">
        <f>(CK36-CJ36)/2</f>
        <v>0.86909967410780364</v>
      </c>
      <c r="CM36" s="118" t="e">
        <f>IF(CO36&lt;$BE$7,IF(MAX(CR36,CU36)=CR36,CT36&amp;" trivial; don't use",CW36&amp;" harmful; don't use"),IF(CU36&lt;$BA$7,CQ36&amp;" beneficial; use","unclear; don't use"))</f>
        <v>#VALUE!</v>
      </c>
      <c r="CN36" s="118" t="e">
        <f>IF(MIN(CO36,CU36)&gt;$BC$7,"unclear",IF(MAX(CO36,CR36,CU36)=CO36,CQ36&amp;" "&amp;CG35,IF(MAX(CO36,CR36,CU36)=CR36,CT36&amp;" trivial",CW36&amp;" "&amp;CH35)))</f>
        <v>#VALUE!</v>
      </c>
      <c r="CO36" s="112" t="e">
        <f>100*IF(CG36&gt;0,IF(BZ36-CG36&gt;0,1-TDIST((BZ36-CG36)/CY36,CA36,1),TDIST((CG36-BZ36)/CY36,CA36,1)),IF(BZ36-CG36&gt;0,TDIST((BZ36-CG36)/CY36,CA36,1),1-TDIST((CG36-BZ36)/CY36,CA36,1)))</f>
        <v>#VALUE!</v>
      </c>
      <c r="CP36" s="113" t="s">
        <v>166</v>
      </c>
      <c r="CQ36" s="100" t="e">
        <f>IF(CO36&lt;$BA$7,$AZ$7,IF(CO36&lt;$BC$7,$BB$7,IF(CO36&lt;$BE$7,$BD$7,IF(CO36&lt;$BG$7,$BF$7,IF(CO36&lt;$BI$7,$BH$7,IF(CO36&lt;$BK$7,$BJ$7,$BL$7))))))</f>
        <v>#VALUE!</v>
      </c>
      <c r="CR36" s="114" t="e">
        <f>100-CO36-CU36</f>
        <v>#VALUE!</v>
      </c>
      <c r="CS36" s="113" t="s">
        <v>166</v>
      </c>
      <c r="CT36" s="100" t="e">
        <f>IF(CR36&lt;$BA$7,$AZ$7,IF(CR36&lt;$BC$7,$BB$7,IF(CR36&lt;$BE$7,$BD$7,IF(CR36&lt;$BG$7,$BF$7,IF(CR36&lt;$BI$7,$BH$7,IF(CR36&lt;$BK$7,$BJ$7,$BL$7))))))</f>
        <v>#VALUE!</v>
      </c>
      <c r="CU36" s="112" t="e">
        <f>100*IF(CH36&gt;0,IF(BZ36-CH36&gt;0,1-TDIST((BZ36-CH36)/CY36,CA36,1),TDIST((CH36-BZ36)/CY36,CA36,1)),IF(BZ36-CH36&gt;0,TDIST((BZ36-CH36)/CY36,CA36,1),1-TDIST((CH36-BZ36)/CY36,CA36,1)))</f>
        <v>#VALUE!</v>
      </c>
      <c r="CV36" s="113" t="s">
        <v>166</v>
      </c>
      <c r="CW36" s="100" t="e">
        <f>IF(CU36&lt;$BA$7,$AZ$7,IF(CU36&lt;$BC$7,$BB$7,IF(CU36&lt;$BE$7,$BD$7,IF(CU36&lt;$BG$7,$BF$7,IF(CU36&lt;$BI$7,$BH$7,IF(CU36&lt;$BK$7,$BJ$7,$BL$7))))))</f>
        <v>#VALUE!</v>
      </c>
      <c r="CX36" s="115" t="e">
        <f>CO36/(100-CO36)/(CU36/(100-CU36))</f>
        <v>#VALUE!</v>
      </c>
      <c r="CY36" s="105">
        <f>(CC36-CB36)/2/TINV(1-CE36/100,CA36)</f>
        <v>0.52048000215806867</v>
      </c>
      <c r="CZ36" s="24" t="str">
        <f>U36</f>
        <v>Week 6/Week 1</v>
      </c>
      <c r="DA36" s="116">
        <f>AQ36</f>
        <v>0.5380646101440667</v>
      </c>
      <c r="DB36" s="109">
        <f>F36</f>
        <v>62</v>
      </c>
      <c r="DC36" s="116">
        <f>AR36</f>
        <v>-1.5924652076476864</v>
      </c>
      <c r="DD36" s="116">
        <f>AS36</f>
        <v>2.6208815124719664</v>
      </c>
      <c r="DE36" s="116">
        <f>(DD36-DC36)/2</f>
        <v>2.1066733600598262</v>
      </c>
      <c r="DF36" s="109">
        <f>100*(1-I36)</f>
        <v>90</v>
      </c>
      <c r="DG36" s="102">
        <f>100-2*$BC$7</f>
        <v>90</v>
      </c>
      <c r="DH36" s="241" t="e">
        <f t="shared" ref="DH36" si="15">$P$5*AU36+$Q$5*AV36</f>
        <v>#VALUE!</v>
      </c>
      <c r="DI36" s="241" t="e">
        <f t="shared" ref="DI36" si="16">$Q$5*AU36+$P$5*AV36</f>
        <v>#VALUE!</v>
      </c>
      <c r="DJ36" s="104">
        <f>DA36</f>
        <v>0.5380646101440667</v>
      </c>
      <c r="DK36" s="104">
        <f>10*(2*SQRT(EXP(LN(((1+DA36/10)/(1-DA36/10))^2)-TINV((100-DG36)/100,DB36)*DZ36))/(1+SQRT(EXP(LN(((1+DA36/10)/(1-DA36/10))^2)-TINV((100-DG36)/100,DB36)*DZ36)))-1)</f>
        <v>-1.5925567710844613</v>
      </c>
      <c r="DL36" s="104">
        <f>10*(2*SQRT(EXP(LN(((1+DA36/10)/(1-DA36/10))^2)+TINV((100-DG36)/100,DB36)*DZ36))/(1+SQRT(EXP(LN(((1+DA36/10)/(1-DA36/10))^2)+TINV((100-DG36)/100,DB36)*DZ36)))-1)</f>
        <v>2.6207940194326085</v>
      </c>
      <c r="DM36" s="104">
        <f>(DL36-DK36)/2</f>
        <v>2.1066753952585349</v>
      </c>
      <c r="DN36" s="118" t="e">
        <f>IF(DP36&lt;$BE$7,IF(MAX(DS36,DV36)=DS36,DU36&amp;" trivial; don't use",DX36&amp;" harmful; don't use"),IF(DV36&lt;$BA$7,DR36&amp;" beneficial; use","unclear; don't use"))</f>
        <v>#VALUE!</v>
      </c>
      <c r="DO36" s="118" t="e">
        <f>IF(MIN(DP36,DV36)&gt;$BC$7,"unclear",IF(MAX(DP36,DS36,DV36)=DP36,DR36&amp;" "&amp;DH35,IF(MAX(DP36,DS36,DV36)=DS36,DU36&amp;" trivial",DX36&amp;" "&amp;DI35)))</f>
        <v>#VALUE!</v>
      </c>
      <c r="DP36" s="112" t="e">
        <f>100*IF(LN(((1+DH36/10)/(1-DH36/10))^2)&gt;0,IF(LN(((1+DA36/10)/(1-DA36/10))^2)-LN(((1+DH36/10)/(1-DH36/10))^2)&gt;0,1-TDIST((LN(((1+DA36/10)/(1-DA36/10))^2)-LN(((1+DH36/10)/(1-DH36/10))^2))/DZ36,DB36,1),TDIST((LN(((1+DH36/10)/(1-DH36/10))^2)-LN(((1+DA36/10)/(1-DA36/10))^2))/DZ36,DB36,1)),IF(LN(((1+DA36/10)/(1-DA36/10))^2)-LN(((1+DH36/10)/(1-DH36/10))^2)&gt;0,TDIST((LN(((1+DA36/10)/(1-DA36/10))^2)-LN(((1+DH36/10)/(1-DH36/10))^2))/DZ36,DB36,1),1-TDIST((LN(((1+DH36/10)/(1-DH36/10))^2)-LN(((1+DA36/10)/(1-DA36/10))^2))/DZ36,DB36,1)))</f>
        <v>#VALUE!</v>
      </c>
      <c r="DQ36" s="113" t="s">
        <v>166</v>
      </c>
      <c r="DR36" s="100" t="e">
        <f>IF(DP36&lt;$BA$7,$AZ$7,IF(DP36&lt;$BC$7,$BB$7,IF(DP36&lt;$BE$7,$BD$7,IF(DP36&lt;$BG$7,$BF$7,IF(DP36&lt;$BI$7,$BH$7,IF(DP36&lt;$BK$7,$BJ$7,$BL$7))))))</f>
        <v>#VALUE!</v>
      </c>
      <c r="DS36" s="114" t="e">
        <f>100-DP36-DV36</f>
        <v>#VALUE!</v>
      </c>
      <c r="DT36" s="113" t="s">
        <v>166</v>
      </c>
      <c r="DU36" s="100" t="e">
        <f>IF(DS36&lt;$BA$7,$AZ$7,IF(DS36&lt;$BC$7,$BB$7,IF(DS36&lt;$BE$7,$BD$7,IF(DS36&lt;$BG$7,$BF$7,IF(DS36&lt;$BI$7,$BH$7,IF(DS36&lt;$BK$7,$BJ$7,$BL$7))))))</f>
        <v>#VALUE!</v>
      </c>
      <c r="DV36" s="112" t="e">
        <f>100*IF(LN(((1+DI36/10)/(1-DI36/10))^2)&gt;0,IF(LN(((1+DA36/10)/(1-DA36/10))^2)-LN(((1+DI36/10)/(1-DI36/10))^2)&gt;0,1-TDIST((LN(((1+DA36/10)/(1-DA36/10))^2)-LN(((1+DI36/10)/(1-DI36/10))^2))/DZ36,DB36,1),TDIST((LN(((1+DI36/10)/(1-DI36/10))^2)-LN(((1+DA36/10)/(1-DA36/10))^2))/DZ36,DB36,1)),IF(LN(((1+DA36/10)/(1-DA36/10))^2)-LN(((1+DI36/10)/(1-DI36/10))^2)&gt;0,TDIST((LN(((1+DA36/10)/(1-DA36/10))^2)-LN(((1+DI36/10)/(1-DI36/10))^2))/DZ36,DB36,1),1-TDIST((LN(((1+DI36/10)/(1-DI36/10))^2)-LN(((1+DA36/10)/(1-DA36/10))^2))/DZ36,DB36,1)))</f>
        <v>#VALUE!</v>
      </c>
      <c r="DW36" s="113" t="s">
        <v>166</v>
      </c>
      <c r="DX36" s="100" t="e">
        <f>IF(DV36&lt;$BA$7,$AZ$7,IF(DV36&lt;$BC$7,$BB$7,IF(DV36&lt;$BE$7,$BD$7,IF(DV36&lt;$BG$7,$BF$7,IF(DV36&lt;$BI$7,$BH$7,IF(DV36&lt;$BK$7,$BJ$7,$BL$7))))))</f>
        <v>#VALUE!</v>
      </c>
      <c r="DY36" s="115" t="e">
        <f>DP36/(100-DP36)/(DV36/(100-DV36))</f>
        <v>#VALUE!</v>
      </c>
      <c r="DZ36" s="105">
        <f>(LN(((1+DD36/10)/(1-DD36/10))^2)-LN(((1+DC36/10)/(1-DC36/10))^2))/2/TINV(1-DF36/100,DB36)</f>
        <v>0.51378812686338926</v>
      </c>
    </row>
    <row r="37" spans="3:130" ht="15.65" customHeight="1" x14ac:dyDescent="0.3">
      <c r="C37" s="44" t="s">
        <v>128</v>
      </c>
      <c r="D37" s="12">
        <v>0</v>
      </c>
      <c r="E37" s="1" t="s">
        <v>64</v>
      </c>
      <c r="F37" s="1" t="s">
        <v>64</v>
      </c>
      <c r="G37" s="12" t="s">
        <v>64</v>
      </c>
      <c r="H37" s="1" t="s">
        <v>64</v>
      </c>
      <c r="I37" s="1" t="s">
        <v>64</v>
      </c>
      <c r="J37" s="12" t="s">
        <v>64</v>
      </c>
      <c r="K37" s="1" t="s">
        <v>64</v>
      </c>
      <c r="L37" s="1" t="s">
        <v>64</v>
      </c>
      <c r="M37" s="1" t="s">
        <v>64</v>
      </c>
      <c r="N37" s="1" t="s">
        <v>64</v>
      </c>
      <c r="P37" s="26"/>
      <c r="Q37" s="46"/>
      <c r="R37" s="51"/>
      <c r="S37" s="51"/>
      <c r="T37" s="51"/>
      <c r="U37" s="18"/>
      <c r="Z37" s="5"/>
      <c r="AA37" s="5"/>
      <c r="AC37" s="5"/>
      <c r="AD37" s="5"/>
      <c r="AE37" s="7"/>
      <c r="AF37" s="5"/>
      <c r="AG37" s="5"/>
      <c r="AH37" s="5"/>
      <c r="AI37" s="8"/>
      <c r="AJ37" s="5"/>
      <c r="AK37" s="5"/>
      <c r="AL37" s="5"/>
      <c r="AM37" s="5"/>
      <c r="AN37" s="9"/>
      <c r="AO37" s="5"/>
      <c r="AS37" s="33"/>
      <c r="AT37" s="50"/>
      <c r="AU37" s="5"/>
      <c r="AV37" s="5"/>
      <c r="AY37" s="266" t="s">
        <v>170</v>
      </c>
      <c r="AZ37" s="267"/>
      <c r="BA37" s="267"/>
      <c r="BB37" s="267"/>
      <c r="BC37" s="267"/>
      <c r="BD37" s="267"/>
      <c r="BE37" s="268"/>
      <c r="BF37" s="277" t="s">
        <v>208</v>
      </c>
      <c r="BG37" s="278"/>
      <c r="BH37" s="281" t="s">
        <v>174</v>
      </c>
      <c r="BI37" s="282"/>
      <c r="BJ37" s="282"/>
      <c r="BK37" s="282"/>
      <c r="BL37" s="282"/>
      <c r="BM37" s="283"/>
      <c r="BN37" s="284" t="s">
        <v>150</v>
      </c>
      <c r="BO37" s="285"/>
      <c r="BP37" s="285"/>
      <c r="BQ37" s="285"/>
      <c r="BR37" s="285"/>
      <c r="BS37" s="285"/>
      <c r="BT37" s="285"/>
      <c r="BU37" s="285"/>
      <c r="BV37" s="286"/>
      <c r="BZ37" s="266" t="s">
        <v>169</v>
      </c>
      <c r="CA37" s="267"/>
      <c r="CB37" s="267"/>
      <c r="CC37" s="267"/>
      <c r="CD37" s="267"/>
      <c r="CE37" s="267"/>
      <c r="CF37" s="268"/>
      <c r="CG37" s="277" t="s">
        <v>208</v>
      </c>
      <c r="CH37" s="278"/>
      <c r="CI37" s="281" t="s">
        <v>180</v>
      </c>
      <c r="CJ37" s="282"/>
      <c r="CK37" s="282"/>
      <c r="CL37" s="282"/>
      <c r="CM37" s="282"/>
      <c r="CN37" s="283"/>
      <c r="CO37" s="284" t="s">
        <v>150</v>
      </c>
      <c r="CP37" s="285"/>
      <c r="CQ37" s="285"/>
      <c r="CR37" s="285"/>
      <c r="CS37" s="285"/>
      <c r="CT37" s="285"/>
      <c r="CU37" s="285"/>
      <c r="CV37" s="285"/>
      <c r="CW37" s="286"/>
      <c r="DA37" s="266" t="s">
        <v>173</v>
      </c>
      <c r="DB37" s="267"/>
      <c r="DC37" s="267"/>
      <c r="DD37" s="267"/>
      <c r="DE37" s="267"/>
      <c r="DF37" s="267"/>
      <c r="DG37" s="268"/>
      <c r="DH37" s="277" t="s">
        <v>208</v>
      </c>
      <c r="DI37" s="278"/>
      <c r="DJ37" s="281" t="s">
        <v>199</v>
      </c>
      <c r="DK37" s="282"/>
      <c r="DL37" s="282"/>
      <c r="DM37" s="282"/>
      <c r="DN37" s="282"/>
      <c r="DO37" s="283"/>
      <c r="DP37" s="284" t="s">
        <v>150</v>
      </c>
      <c r="DQ37" s="285"/>
      <c r="DR37" s="285"/>
      <c r="DS37" s="285"/>
      <c r="DT37" s="285"/>
      <c r="DU37" s="285"/>
      <c r="DV37" s="285"/>
      <c r="DW37" s="285"/>
      <c r="DX37" s="286"/>
    </row>
    <row r="38" spans="3:130" x14ac:dyDescent="0.3">
      <c r="C38" s="44" t="s">
        <v>43</v>
      </c>
      <c r="D38" s="12">
        <v>0.84060000000000001</v>
      </c>
      <c r="E38" s="1">
        <v>0.42099999999999999</v>
      </c>
      <c r="F38" s="1">
        <v>62</v>
      </c>
      <c r="G38" s="12">
        <v>2</v>
      </c>
      <c r="H38" s="1">
        <v>5.0200000000000002E-2</v>
      </c>
      <c r="I38" s="1">
        <v>0.1</v>
      </c>
      <c r="J38" s="12">
        <v>0.1376</v>
      </c>
      <c r="K38" s="1">
        <v>1.5435000000000001</v>
      </c>
      <c r="L38" s="1">
        <v>2.3176000000000001</v>
      </c>
      <c r="M38" s="1">
        <v>1.1476</v>
      </c>
      <c r="N38" s="1">
        <v>4.6807999999999996</v>
      </c>
      <c r="P38" s="5"/>
      <c r="Q38" s="27" t="str">
        <f>C38</f>
        <v>Mean @ -1SD MTPf</v>
      </c>
      <c r="R38" s="4">
        <f>L38/(1+L38)</f>
        <v>0.69857728478418135</v>
      </c>
      <c r="S38" s="4"/>
      <c r="T38" s="4"/>
      <c r="U38" s="26" t="str">
        <f>IF(ISBLANK(C37),"",C37)</f>
        <v>Backs:</v>
      </c>
      <c r="V38" s="4"/>
      <c r="W38" s="5"/>
      <c r="X38" s="59" t="s">
        <v>195</v>
      </c>
      <c r="Y38" s="8"/>
      <c r="Z38" s="5"/>
      <c r="AA38" s="5"/>
      <c r="AC38" s="5"/>
      <c r="AD38" s="5"/>
      <c r="AE38" s="8" t="s">
        <v>191</v>
      </c>
      <c r="AF38" s="4"/>
      <c r="AG38" s="4"/>
      <c r="AH38" s="4"/>
      <c r="AI38" s="4" t="s">
        <v>75</v>
      </c>
      <c r="AJ38" s="5"/>
      <c r="AK38" s="55"/>
      <c r="AL38" s="55"/>
      <c r="AM38" s="59" t="s">
        <v>193</v>
      </c>
      <c r="AN38" s="55"/>
      <c r="AO38" s="55"/>
      <c r="AQ38" s="5"/>
      <c r="AR38" s="5"/>
      <c r="AS38" s="8" t="s">
        <v>184</v>
      </c>
      <c r="AT38" s="8"/>
      <c r="AU38" s="5"/>
      <c r="AV38" s="5"/>
      <c r="AY38" s="269" t="s">
        <v>175</v>
      </c>
      <c r="AZ38" s="271" t="s">
        <v>152</v>
      </c>
      <c r="BA38" s="273" t="s">
        <v>153</v>
      </c>
      <c r="BB38" s="274"/>
      <c r="BC38" s="275"/>
      <c r="BD38" s="306" t="s">
        <v>154</v>
      </c>
      <c r="BE38" s="307"/>
      <c r="BF38" s="106" t="s">
        <v>171</v>
      </c>
      <c r="BG38" s="107" t="s">
        <v>172</v>
      </c>
      <c r="BH38" s="273" t="str">
        <f>"Effect &amp; re-estimated "&amp;BE40&amp;"% confidence limits"</f>
        <v>Effect &amp; re-estimated 90% confidence limits</v>
      </c>
      <c r="BI38" s="274"/>
      <c r="BJ38" s="274"/>
      <c r="BK38" s="275"/>
      <c r="BL38" s="277" t="s">
        <v>155</v>
      </c>
      <c r="BM38" s="278"/>
      <c r="BN38" s="287" t="e">
        <f>"...beneficial or
substantially "&amp;BF39</f>
        <v>#VALUE!</v>
      </c>
      <c r="BO38" s="288"/>
      <c r="BP38" s="289"/>
      <c r="BQ38" s="311" t="s">
        <v>156</v>
      </c>
      <c r="BR38" s="293"/>
      <c r="BS38" s="294"/>
      <c r="BT38" s="297" t="e">
        <f>"...harmful or 
substantially "&amp;BG39</f>
        <v>#VALUE!</v>
      </c>
      <c r="BU38" s="298"/>
      <c r="BV38" s="299"/>
      <c r="BW38" s="303" t="s">
        <v>157</v>
      </c>
      <c r="BZ38" s="269" t="s">
        <v>151</v>
      </c>
      <c r="CA38" s="271" t="s">
        <v>152</v>
      </c>
      <c r="CB38" s="273" t="s">
        <v>153</v>
      </c>
      <c r="CC38" s="274"/>
      <c r="CD38" s="275"/>
      <c r="CE38" s="306" t="s">
        <v>154</v>
      </c>
      <c r="CF38" s="307"/>
      <c r="CG38" s="231" t="s">
        <v>171</v>
      </c>
      <c r="CH38" s="232" t="s">
        <v>172</v>
      </c>
      <c r="CI38" s="273" t="str">
        <f>"Effect &amp; re-estimated "&amp;CF40&amp;"% confidence limits"</f>
        <v>Effect &amp; re-estimated 90% confidence limits</v>
      </c>
      <c r="CJ38" s="274"/>
      <c r="CK38" s="274"/>
      <c r="CL38" s="275"/>
      <c r="CM38" s="277" t="s">
        <v>155</v>
      </c>
      <c r="CN38" s="278"/>
      <c r="CO38" s="287" t="e">
        <f>"...beneficial or
substantially "&amp;CG39</f>
        <v>#VALUE!</v>
      </c>
      <c r="CP38" s="288"/>
      <c r="CQ38" s="289"/>
      <c r="CR38" s="311" t="s">
        <v>156</v>
      </c>
      <c r="CS38" s="293"/>
      <c r="CT38" s="294"/>
      <c r="CU38" s="297" t="e">
        <f>"...harmful or 
substantially "&amp;CH39</f>
        <v>#VALUE!</v>
      </c>
      <c r="CV38" s="298"/>
      <c r="CW38" s="299"/>
      <c r="CX38" s="303" t="s">
        <v>157</v>
      </c>
      <c r="DA38" s="269" t="s">
        <v>151</v>
      </c>
      <c r="DB38" s="271" t="s">
        <v>152</v>
      </c>
      <c r="DC38" s="273" t="s">
        <v>153</v>
      </c>
      <c r="DD38" s="274"/>
      <c r="DE38" s="275"/>
      <c r="DF38" s="306" t="s">
        <v>154</v>
      </c>
      <c r="DG38" s="307"/>
      <c r="DH38" s="231" t="s">
        <v>171</v>
      </c>
      <c r="DI38" s="232" t="s">
        <v>172</v>
      </c>
      <c r="DJ38" s="273" t="str">
        <f>"Effect &amp; re-estimated "&amp;DG40&amp;"% confidence limits"</f>
        <v>Effect &amp; re-estimated 90% confidence limits</v>
      </c>
      <c r="DK38" s="274"/>
      <c r="DL38" s="274"/>
      <c r="DM38" s="275"/>
      <c r="DN38" s="277" t="s">
        <v>155</v>
      </c>
      <c r="DO38" s="278"/>
      <c r="DP38" s="287" t="e">
        <f>"...beneficial or
substantially "&amp;DH39</f>
        <v>#VALUE!</v>
      </c>
      <c r="DQ38" s="288"/>
      <c r="DR38" s="289"/>
      <c r="DS38" s="311" t="s">
        <v>156</v>
      </c>
      <c r="DT38" s="293"/>
      <c r="DU38" s="294"/>
      <c r="DV38" s="297" t="e">
        <f>"...harmful or 
substantially "&amp;DI39</f>
        <v>#VALUE!</v>
      </c>
      <c r="DW38" s="298"/>
      <c r="DX38" s="299"/>
      <c r="DY38" s="303" t="s">
        <v>157</v>
      </c>
    </row>
    <row r="39" spans="3:130" x14ac:dyDescent="0.3">
      <c r="C39" s="44" t="s">
        <v>44</v>
      </c>
      <c r="D39" s="12">
        <v>1.0505</v>
      </c>
      <c r="E39" s="1">
        <v>0.3533</v>
      </c>
      <c r="F39" s="1">
        <v>62</v>
      </c>
      <c r="G39" s="12">
        <v>2.97</v>
      </c>
      <c r="H39" s="1">
        <v>4.1999999999999997E-3</v>
      </c>
      <c r="I39" s="1">
        <v>0.1</v>
      </c>
      <c r="J39" s="12">
        <v>0.46060000000000001</v>
      </c>
      <c r="K39" s="1">
        <v>1.6404000000000001</v>
      </c>
      <c r="L39" s="1">
        <v>2.859</v>
      </c>
      <c r="M39" s="1">
        <v>1.5851</v>
      </c>
      <c r="N39" s="1">
        <v>5.157</v>
      </c>
      <c r="P39" s="5"/>
      <c r="Q39" s="27" t="str">
        <f>C39</f>
        <v>Mean @ +1SD MTPf</v>
      </c>
      <c r="R39" s="4">
        <f>L39/(1+L39)</f>
        <v>0.74086550919927441</v>
      </c>
      <c r="S39" s="4"/>
      <c r="T39" s="4"/>
      <c r="U39" s="14"/>
      <c r="V39" s="60" t="s">
        <v>2</v>
      </c>
      <c r="W39" s="60" t="s">
        <v>12</v>
      </c>
      <c r="X39" s="60" t="s">
        <v>13</v>
      </c>
      <c r="Y39" s="77" t="s">
        <v>141</v>
      </c>
      <c r="Z39" s="60" t="s">
        <v>61</v>
      </c>
      <c r="AA39" s="60" t="s">
        <v>60</v>
      </c>
      <c r="AC39" s="60" t="s">
        <v>2</v>
      </c>
      <c r="AD39" s="60" t="s">
        <v>12</v>
      </c>
      <c r="AE39" s="60" t="s">
        <v>13</v>
      </c>
      <c r="AF39" s="60" t="s">
        <v>61</v>
      </c>
      <c r="AG39" s="60" t="s">
        <v>60</v>
      </c>
      <c r="AH39" s="60"/>
      <c r="AI39" s="61" t="s">
        <v>83</v>
      </c>
      <c r="AJ39" s="5"/>
      <c r="AK39" s="60" t="s">
        <v>2</v>
      </c>
      <c r="AL39" s="60" t="s">
        <v>12</v>
      </c>
      <c r="AM39" s="60" t="s">
        <v>13</v>
      </c>
      <c r="AN39" s="62" t="s">
        <v>61</v>
      </c>
      <c r="AO39" s="62" t="s">
        <v>60</v>
      </c>
      <c r="AQ39" s="60" t="s">
        <v>2</v>
      </c>
      <c r="AR39" s="60" t="s">
        <v>12</v>
      </c>
      <c r="AS39" s="60" t="s">
        <v>13</v>
      </c>
      <c r="AT39" s="60" t="s">
        <v>139</v>
      </c>
      <c r="AU39" s="62" t="s">
        <v>61</v>
      </c>
      <c r="AV39" s="62" t="s">
        <v>60</v>
      </c>
      <c r="AY39" s="270"/>
      <c r="AZ39" s="305"/>
      <c r="BA39" s="87" t="s">
        <v>158</v>
      </c>
      <c r="BB39" s="88" t="s">
        <v>159</v>
      </c>
      <c r="BC39" s="93" t="s">
        <v>168</v>
      </c>
      <c r="BD39" s="89" t="s">
        <v>160</v>
      </c>
      <c r="BE39" s="90" t="s">
        <v>161</v>
      </c>
      <c r="BF39" s="91" t="e">
        <f>IF(BF40&lt;1,"decr.","incr.")</f>
        <v>#VALUE!</v>
      </c>
      <c r="BG39" s="92" t="e">
        <f>IF(BG40&gt;1,"incr.","decr.")</f>
        <v>#VALUE!</v>
      </c>
      <c r="BH39" s="83" t="s">
        <v>17</v>
      </c>
      <c r="BI39" s="90" t="s">
        <v>162</v>
      </c>
      <c r="BJ39" s="90" t="s">
        <v>163</v>
      </c>
      <c r="BK39" s="93" t="s">
        <v>168</v>
      </c>
      <c r="BL39" s="94" t="s">
        <v>164</v>
      </c>
      <c r="BM39" s="95" t="s">
        <v>165</v>
      </c>
      <c r="BN39" s="308"/>
      <c r="BO39" s="309"/>
      <c r="BP39" s="310"/>
      <c r="BQ39" s="312"/>
      <c r="BR39" s="313"/>
      <c r="BS39" s="314"/>
      <c r="BT39" s="315"/>
      <c r="BU39" s="316"/>
      <c r="BV39" s="317"/>
      <c r="BW39" s="304"/>
      <c r="BX39" s="97" t="s">
        <v>167</v>
      </c>
      <c r="BZ39" s="270"/>
      <c r="CA39" s="305"/>
      <c r="CB39" s="87" t="s">
        <v>158</v>
      </c>
      <c r="CC39" s="88" t="s">
        <v>159</v>
      </c>
      <c r="CD39" s="93" t="s">
        <v>138</v>
      </c>
      <c r="CE39" s="89" t="s">
        <v>160</v>
      </c>
      <c r="CF39" s="90" t="s">
        <v>161</v>
      </c>
      <c r="CG39" s="217" t="e">
        <f t="shared" ref="CG39" si="17">IF(CG40&lt;0,"decr.","incr.")</f>
        <v>#VALUE!</v>
      </c>
      <c r="CH39" s="218" t="e">
        <f t="shared" ref="CH39" si="18">IF(CH40&gt;0,"incr.","decr.")</f>
        <v>#VALUE!</v>
      </c>
      <c r="CI39" s="83" t="s">
        <v>17</v>
      </c>
      <c r="CJ39" s="90" t="s">
        <v>162</v>
      </c>
      <c r="CK39" s="90" t="s">
        <v>163</v>
      </c>
      <c r="CL39" s="93" t="s">
        <v>138</v>
      </c>
      <c r="CM39" s="94" t="s">
        <v>164</v>
      </c>
      <c r="CN39" s="95" t="s">
        <v>165</v>
      </c>
      <c r="CO39" s="308"/>
      <c r="CP39" s="309"/>
      <c r="CQ39" s="310"/>
      <c r="CR39" s="312"/>
      <c r="CS39" s="313"/>
      <c r="CT39" s="314"/>
      <c r="CU39" s="315"/>
      <c r="CV39" s="316"/>
      <c r="CW39" s="317"/>
      <c r="CX39" s="304"/>
      <c r="CY39" s="96" t="s">
        <v>167</v>
      </c>
      <c r="DA39" s="270"/>
      <c r="DB39" s="305"/>
      <c r="DC39" s="87" t="s">
        <v>158</v>
      </c>
      <c r="DD39" s="88" t="s">
        <v>159</v>
      </c>
      <c r="DE39" s="93" t="s">
        <v>138</v>
      </c>
      <c r="DF39" s="89" t="s">
        <v>160</v>
      </c>
      <c r="DG39" s="90" t="s">
        <v>161</v>
      </c>
      <c r="DH39" s="217" t="e">
        <f t="shared" ref="DH39" si="19">IF(DH40&lt;0,"decr.","incr.")</f>
        <v>#VALUE!</v>
      </c>
      <c r="DI39" s="218" t="e">
        <f t="shared" ref="DI39" si="20">IF(DI40&gt;0,"incr.","decr.")</f>
        <v>#VALUE!</v>
      </c>
      <c r="DJ39" s="83" t="s">
        <v>17</v>
      </c>
      <c r="DK39" s="90" t="s">
        <v>162</v>
      </c>
      <c r="DL39" s="90" t="s">
        <v>163</v>
      </c>
      <c r="DM39" s="93" t="s">
        <v>138</v>
      </c>
      <c r="DN39" s="94" t="s">
        <v>164</v>
      </c>
      <c r="DO39" s="95" t="s">
        <v>165</v>
      </c>
      <c r="DP39" s="308"/>
      <c r="DQ39" s="309"/>
      <c r="DR39" s="310"/>
      <c r="DS39" s="312"/>
      <c r="DT39" s="313"/>
      <c r="DU39" s="314"/>
      <c r="DV39" s="315"/>
      <c r="DW39" s="316"/>
      <c r="DX39" s="317"/>
      <c r="DY39" s="304"/>
      <c r="DZ39" s="96" t="s">
        <v>167</v>
      </c>
    </row>
    <row r="40" spans="3:130" x14ac:dyDescent="0.3">
      <c r="C40" s="44" t="s">
        <v>81</v>
      </c>
      <c r="D40" s="12">
        <v>0.2099</v>
      </c>
      <c r="E40" s="1">
        <v>0.49890000000000001</v>
      </c>
      <c r="F40" s="1">
        <v>62</v>
      </c>
      <c r="G40" s="12">
        <v>0.42</v>
      </c>
      <c r="H40" s="1">
        <v>0.6754</v>
      </c>
      <c r="I40" s="1">
        <v>0.1</v>
      </c>
      <c r="J40" s="12">
        <v>-0.62309999999999999</v>
      </c>
      <c r="K40" s="1">
        <v>1.0429999999999999</v>
      </c>
      <c r="L40" s="1">
        <v>1.2336</v>
      </c>
      <c r="M40" s="1">
        <v>0.5363</v>
      </c>
      <c r="N40" s="1">
        <v>2.8376999999999999</v>
      </c>
      <c r="P40" s="5"/>
      <c r="R40" s="5"/>
      <c r="S40" s="5"/>
      <c r="T40" s="5"/>
      <c r="U40" s="26" t="str">
        <f>C40</f>
        <v>MTPf +1SD/-1SD</v>
      </c>
      <c r="V40" s="48">
        <f>L38*L40/(1+L38*L40)/R38</f>
        <v>1.0605339525818478</v>
      </c>
      <c r="W40" s="48">
        <f>EXP(LN(V40)-_xlfn.T.INV.2T(I40,F40)*ABS(LN(V40))/ABS(G40))</f>
        <v>0.83954871082891136</v>
      </c>
      <c r="X40" s="48">
        <f>EXP(LN(V40)+_xlfn.T.INV.2T(I40,F40)*ABS(LN(V40))/ABS(G40))</f>
        <v>1.3396867270136064</v>
      </c>
      <c r="Y40" s="48">
        <f>SQRT(X40/W40)</f>
        <v>1.2632190829460641</v>
      </c>
      <c r="Z40" s="4">
        <f>$V$26</f>
        <v>0.9</v>
      </c>
      <c r="AA40" s="4">
        <f>$V$27</f>
        <v>1.1111111111111112</v>
      </c>
      <c r="AC40" s="4">
        <f>D40</f>
        <v>0.2099</v>
      </c>
      <c r="AD40" s="4">
        <f>J40</f>
        <v>-0.62309999999999999</v>
      </c>
      <c r="AE40" s="4">
        <f>K40</f>
        <v>1.0429999999999999</v>
      </c>
      <c r="AF40" s="4">
        <f>LN(Z40*R38/(1-Z40*R38)/L38)</f>
        <v>-0.31380455659735235</v>
      </c>
      <c r="AG40" s="4">
        <f>LN(AA40*R38/(1-AA40*R38)/L38)</f>
        <v>0.4031078885344867</v>
      </c>
      <c r="AH40" s="4"/>
      <c r="AI40" s="4">
        <f>SQRT($D$11+$D$13*(1/($H$4*$R38)+1/($H$4*(1-$R38))))</f>
        <v>0.96409849317772589</v>
      </c>
      <c r="AJ40" s="5"/>
      <c r="AK40" s="4">
        <f>AC40/AI40</f>
        <v>0.21771634483957872</v>
      </c>
      <c r="AL40" s="4">
        <f>AD40/AI40</f>
        <v>-0.64630326093159363</v>
      </c>
      <c r="AM40" s="4">
        <f>AE40/AI40</f>
        <v>1.0818396744529803</v>
      </c>
      <c r="AN40" s="143">
        <f>$AK$26</f>
        <v>-0.2</v>
      </c>
      <c r="AO40" s="143">
        <f>$AK$27</f>
        <v>0.2</v>
      </c>
      <c r="AQ40" s="50">
        <f>10*(2*SQRT(L40)/(1+SQRT(L40))-1)</f>
        <v>0.5243604320902695</v>
      </c>
      <c r="AR40" s="50">
        <f>10*(2*SQRT(M40)/(1+SQRT(M40))-1)</f>
        <v>-1.5451772941476627</v>
      </c>
      <c r="AS40" s="50">
        <f>10*(2*SQRT(N40)/(1+SQRT(N40))-1)</f>
        <v>2.5499546502261006</v>
      </c>
      <c r="AT40" s="50">
        <f>(AS40-AR40)/2</f>
        <v>2.0475659721868817</v>
      </c>
      <c r="AU40" s="10">
        <f>$AQ$26</f>
        <v>-1</v>
      </c>
      <c r="AV40" s="10">
        <f>$AQ$27</f>
        <v>1</v>
      </c>
      <c r="AW40" s="6" t="str">
        <f>U40</f>
        <v>MTPf +1SD/-1SD</v>
      </c>
      <c r="AY40" s="108">
        <f>V40</f>
        <v>1.0605339525818478</v>
      </c>
      <c r="AZ40" s="109">
        <f>F40</f>
        <v>62</v>
      </c>
      <c r="BA40" s="108">
        <f>W40</f>
        <v>0.83954871082891136</v>
      </c>
      <c r="BB40" s="108">
        <f>X40</f>
        <v>1.3396867270136064</v>
      </c>
      <c r="BC40" s="108">
        <f>SQRT(BB40/BA40)</f>
        <v>1.2632190829460641</v>
      </c>
      <c r="BD40" s="110">
        <f>100*(1-I40)</f>
        <v>90</v>
      </c>
      <c r="BE40" s="102">
        <f>100-2*$BC$7</f>
        <v>90</v>
      </c>
      <c r="BF40" s="108" t="e">
        <f>$P$5*Z40+$Q$5*AA40</f>
        <v>#VALUE!</v>
      </c>
      <c r="BG40" s="108" t="e">
        <f>$Q$5*Z40+$P$5*AA40</f>
        <v>#VALUE!</v>
      </c>
      <c r="BH40" s="103">
        <f>AY40</f>
        <v>1.0605339525818478</v>
      </c>
      <c r="BI40" s="103">
        <f>EXP(LN(AY40)-TINV((100-BE40)/100,AZ40)*BX40)</f>
        <v>0.83954871082891136</v>
      </c>
      <c r="BJ40" s="103">
        <f>EXP(LN(AY40)+TINV((100-BE40)/100,AZ40)*BX40)</f>
        <v>1.3396867270136064</v>
      </c>
      <c r="BK40" s="103">
        <f>SQRT(BJ40/BI40)</f>
        <v>1.2632190829460641</v>
      </c>
      <c r="BL40" s="118" t="e">
        <f>IF(BN40&lt;$BE$7,IF(MAX(BQ40,BT40)=BQ40,BS40&amp;" trivial; don't use",BV40&amp;" harmful; don't use"),IF(BT40&lt;$BA$7,BP40&amp;" beneficial; use","unclear; don't use"))</f>
        <v>#VALUE!</v>
      </c>
      <c r="BM40" s="118" t="e">
        <f>IF(MIN(BN40,BT40)&gt;$BC$7,"unclear",IF(MAX(BN40,BQ40,BT40)=BN40,BP40&amp;" "&amp;BF39,IF(MAX(BN40,BQ40,BT40)=BQ40,BS40&amp;" trivial",BV40&amp;" "&amp;BG39)))</f>
        <v>#VALUE!</v>
      </c>
      <c r="BN40" s="98" t="e">
        <f>100*IF(LN(BF40)&gt;0,IF(LN(AY40)-LN(BF40)&gt;0,1-TDIST((LN(AY40)-LN(BF40))/BX40,AZ40,1),TDIST((LN(BF40)-LN(AY40))/BX40,AZ40,1)),IF(LN(AY40)-LN(BF40)&gt;0,TDIST((LN(AY40)-LN(BF40))/BX40,AZ40,1),1-TDIST((LN(BF40)-LN(AY40))/BX40,AZ40,1)))</f>
        <v>#VALUE!</v>
      </c>
      <c r="BO40" s="99" t="s">
        <v>166</v>
      </c>
      <c r="BP40" s="100" t="e">
        <f>IF(BN40&lt;$BA$7,$AZ$7,IF(BN40&lt;$BC$7,$BB$7,IF(BN40&lt;$BE$7,$BD$7,IF(BN40&lt;$BG$7,$BF$7,IF(BN40&lt;$BI$7,$BH$7,IF(BN40&lt;$BK$7,$BJ$7,$BL$7))))))</f>
        <v>#VALUE!</v>
      </c>
      <c r="BQ40" s="101" t="e">
        <f>100-BN40-BT40</f>
        <v>#VALUE!</v>
      </c>
      <c r="BR40" s="99" t="s">
        <v>166</v>
      </c>
      <c r="BS40" s="100" t="e">
        <f>IF(BQ40&lt;$BA$7,$AZ$7,IF(BQ40&lt;$BC$7,$BB$7,IF(BQ40&lt;$BE$7,$BD$7,IF(BQ40&lt;$BG$7,$BF$7,IF(BQ40&lt;$BI$7,$BH$7,IF(BQ40&lt;$BK$7,$BJ$7,$BL$7))))))</f>
        <v>#VALUE!</v>
      </c>
      <c r="BT40" s="98" t="e">
        <f>100*IF(LN(BG40)&gt;0,IF(LN(AY40)-LN(BG40)&gt;0,1-TDIST((LN(AY40)-LN(BG40))/BX40,AZ40,1),TDIST((LN(BG40)-LN(AY40))/BX40,AZ40,1)),IF(LN(AY40)-LN(BG40)&gt;0,TDIST((LN(AY40)-LN(BG40))/BX40,AZ40,1),1-TDIST((LN(BG40)-LN(AY40))/BX40,AZ40,1)))</f>
        <v>#VALUE!</v>
      </c>
      <c r="BU40" s="99" t="s">
        <v>166</v>
      </c>
      <c r="BV40" s="100" t="e">
        <f>IF(BT40&lt;$BA$7,$AZ$7,IF(BT40&lt;$BC$7,$BB$7,IF(BT40&lt;$BE$7,$BD$7,IF(BT40&lt;$BG$7,$BF$7,IF(BT40&lt;$BI$7,$BH$7,IF(BT40&lt;$BK$7,$BJ$7,$BL$7))))))</f>
        <v>#VALUE!</v>
      </c>
      <c r="BW40" s="115" t="e">
        <f>BN40/(100-BN40)/(BT40/(100-BT40))</f>
        <v>#VALUE!</v>
      </c>
      <c r="BX40" s="105">
        <f>(LN(BB40)-LN(BA40))/2/TINV(1-BD40/100,AZ40)</f>
        <v>0.13993454796663754</v>
      </c>
      <c r="BY40" s="24" t="str">
        <f>U40</f>
        <v>MTPf +1SD/-1SD</v>
      </c>
      <c r="BZ40" s="111">
        <f>AK40</f>
        <v>0.21771634483957872</v>
      </c>
      <c r="CA40" s="109">
        <f>F40</f>
        <v>62</v>
      </c>
      <c r="CB40" s="111">
        <f>AL40</f>
        <v>-0.64630326093159363</v>
      </c>
      <c r="CC40" s="111">
        <f>AM40</f>
        <v>1.0818396744529803</v>
      </c>
      <c r="CD40" s="111">
        <f>(CC40-CB40)/2</f>
        <v>0.86407146769228693</v>
      </c>
      <c r="CE40" s="109">
        <f>100*(1-I40)</f>
        <v>90</v>
      </c>
      <c r="CF40" s="102">
        <f>100-2*$BC$7</f>
        <v>90</v>
      </c>
      <c r="CG40" s="233" t="e">
        <f t="shared" ref="CG40" si="21">$P$5*AN40+$Q$5*AO40</f>
        <v>#VALUE!</v>
      </c>
      <c r="CH40" s="233" t="e">
        <f t="shared" ref="CH40" si="22">$Q$5*AN40+$P$5*AO40</f>
        <v>#VALUE!</v>
      </c>
      <c r="CI40" s="117">
        <f>BZ40</f>
        <v>0.21771634483957872</v>
      </c>
      <c r="CJ40" s="117">
        <f>BZ40-TINV((100-CF40)/100,CA40)*CY40</f>
        <v>-0.64635512285270813</v>
      </c>
      <c r="CK40" s="117">
        <f>BZ40+TINV((100-CF40)/100,CA40)*CY40</f>
        <v>1.0817878125318656</v>
      </c>
      <c r="CL40" s="117">
        <f>(CK40-CJ40)/2</f>
        <v>0.86407146769228693</v>
      </c>
      <c r="CM40" s="118" t="e">
        <f>IF(CO40&lt;$BE$7,IF(MAX(CR40,CU40)=CR40,CT40&amp;" trivial; don't use",CW40&amp;" harmful; don't use"),IF(CU40&lt;$BA$7,CQ40&amp;" beneficial; use","unclear; don't use"))</f>
        <v>#VALUE!</v>
      </c>
      <c r="CN40" s="118" t="e">
        <f>IF(MIN(CO40,CU40)&gt;$BC$7,"unclear",IF(MAX(CO40,CR40,CU40)=CO40,CQ40&amp;" "&amp;CG39,IF(MAX(CO40,CR40,CU40)=CR40,CT40&amp;" trivial",CW40&amp;" "&amp;CH39)))</f>
        <v>#VALUE!</v>
      </c>
      <c r="CO40" s="112" t="e">
        <f>100*IF(CG40&gt;0,IF(BZ40-CG40&gt;0,1-TDIST((BZ40-CG40)/CY40,CA40,1),TDIST((CG40-BZ40)/CY40,CA40,1)),IF(BZ40-CG40&gt;0,TDIST((BZ40-CG40)/CY40,CA40,1),1-TDIST((CG40-BZ40)/CY40,CA40,1)))</f>
        <v>#VALUE!</v>
      </c>
      <c r="CP40" s="113" t="s">
        <v>166</v>
      </c>
      <c r="CQ40" s="100" t="e">
        <f>IF(CO40&lt;$BA$7,$AZ$7,IF(CO40&lt;$BC$7,$BB$7,IF(CO40&lt;$BE$7,$BD$7,IF(CO40&lt;$BG$7,$BF$7,IF(CO40&lt;$BI$7,$BH$7,IF(CO40&lt;$BK$7,$BJ$7,$BL$7))))))</f>
        <v>#VALUE!</v>
      </c>
      <c r="CR40" s="114" t="e">
        <f>100-CO40-CU40</f>
        <v>#VALUE!</v>
      </c>
      <c r="CS40" s="113" t="s">
        <v>166</v>
      </c>
      <c r="CT40" s="100" t="e">
        <f>IF(CR40&lt;$BA$7,$AZ$7,IF(CR40&lt;$BC$7,$BB$7,IF(CR40&lt;$BE$7,$BD$7,IF(CR40&lt;$BG$7,$BF$7,IF(CR40&lt;$BI$7,$BH$7,IF(CR40&lt;$BK$7,$BJ$7,$BL$7))))))</f>
        <v>#VALUE!</v>
      </c>
      <c r="CU40" s="112" t="e">
        <f>100*IF(CH40&gt;0,IF(BZ40-CH40&gt;0,1-TDIST((BZ40-CH40)/CY40,CA40,1),TDIST((CH40-BZ40)/CY40,CA40,1)),IF(BZ40-CH40&gt;0,TDIST((BZ40-CH40)/CY40,CA40,1),1-TDIST((CH40-BZ40)/CY40,CA40,1)))</f>
        <v>#VALUE!</v>
      </c>
      <c r="CV40" s="113" t="s">
        <v>166</v>
      </c>
      <c r="CW40" s="100" t="e">
        <f>IF(CU40&lt;$BA$7,$AZ$7,IF(CU40&lt;$BC$7,$BB$7,IF(CU40&lt;$BE$7,$BD$7,IF(CU40&lt;$BG$7,$BF$7,IF(CU40&lt;$BI$7,$BH$7,IF(CU40&lt;$BK$7,$BJ$7,$BL$7))))))</f>
        <v>#VALUE!</v>
      </c>
      <c r="CX40" s="115" t="e">
        <f>CO40/(100-CO40)/(CU40/(100-CU40))</f>
        <v>#VALUE!</v>
      </c>
      <c r="CY40" s="105">
        <f>(CC40-CB40)/2/TINV(1-CE40/100,CA40)</f>
        <v>0.51746874698910772</v>
      </c>
      <c r="CZ40" s="24" t="str">
        <f>U40</f>
        <v>MTPf +1SD/-1SD</v>
      </c>
      <c r="DA40" s="116">
        <f>AQ40</f>
        <v>0.5243604320902695</v>
      </c>
      <c r="DB40" s="109">
        <f>F40</f>
        <v>62</v>
      </c>
      <c r="DC40" s="116">
        <f>AR40</f>
        <v>-1.5451772941476627</v>
      </c>
      <c r="DD40" s="116">
        <f>AS40</f>
        <v>2.5499546502261006</v>
      </c>
      <c r="DE40" s="116">
        <f>(DD40-DC40)/2</f>
        <v>2.0475659721868817</v>
      </c>
      <c r="DF40" s="109">
        <f>100*(1-I40)</f>
        <v>90</v>
      </c>
      <c r="DG40" s="102">
        <f>100-2*$BC$7</f>
        <v>90</v>
      </c>
      <c r="DH40" s="241" t="e">
        <f t="shared" ref="DH40" si="23">$P$5*AU40+$Q$5*AV40</f>
        <v>#VALUE!</v>
      </c>
      <c r="DI40" s="241" t="e">
        <f t="shared" ref="DI40" si="24">$Q$5*AU40+$P$5*AV40</f>
        <v>#VALUE!</v>
      </c>
      <c r="DJ40" s="104">
        <f>DA40</f>
        <v>0.5243604320902695</v>
      </c>
      <c r="DK40" s="104">
        <f>10*(2*SQRT(EXP(LN(((1+DA40/10)/(1-DA40/10))^2)-TINV((100-DG40)/100,DB40)*DZ40))/(1+SQRT(EXP(LN(((1+DA40/10)/(1-DA40/10))^2)-TINV((100-DG40)/100,DB40)*DZ40)))-1)</f>
        <v>-1.5452490932016127</v>
      </c>
      <c r="DL40" s="104">
        <f>10*(2*SQRT(EXP(LN(((1+DA40/10)/(1-DA40/10))^2)+TINV((100-DG40)/100,DB40)*DZ40))/(1+SQRT(EXP(LN(((1+DA40/10)/(1-DA40/10))^2)+TINV((100-DG40)/100,DB40)*DZ40)))-1)</f>
        <v>2.5498858775393529</v>
      </c>
      <c r="DM40" s="104">
        <f>(DL40-DK40)/2</f>
        <v>2.0475674853704828</v>
      </c>
      <c r="DN40" s="118" t="e">
        <f>IF(DP40&lt;$BE$7,IF(MAX(DS40,DV40)=DS40,DU40&amp;" trivial; don't use",DX40&amp;" harmful; don't use"),IF(DV40&lt;$BA$7,DR40&amp;" beneficial; use","unclear; don't use"))</f>
        <v>#VALUE!</v>
      </c>
      <c r="DO40" s="118" t="e">
        <f>IF(MIN(DP40,DV40)&gt;$BC$7,"unclear",IF(MAX(DP40,DS40,DV40)=DP40,DR40&amp;" "&amp;DH39,IF(MAX(DP40,DS40,DV40)=DS40,DU40&amp;" trivial",DX40&amp;" "&amp;DI39)))</f>
        <v>#VALUE!</v>
      </c>
      <c r="DP40" s="112" t="e">
        <f>100*IF(LN(((1+DH40/10)/(1-DH40/10))^2)&gt;0,IF(LN(((1+DA40/10)/(1-DA40/10))^2)-LN(((1+DH40/10)/(1-DH40/10))^2)&gt;0,1-TDIST((LN(((1+DA40/10)/(1-DA40/10))^2)-LN(((1+DH40/10)/(1-DH40/10))^2))/DZ40,DB40,1),TDIST((LN(((1+DH40/10)/(1-DH40/10))^2)-LN(((1+DA40/10)/(1-DA40/10))^2))/DZ40,DB40,1)),IF(LN(((1+DA40/10)/(1-DA40/10))^2)-LN(((1+DH40/10)/(1-DH40/10))^2)&gt;0,TDIST((LN(((1+DA40/10)/(1-DA40/10))^2)-LN(((1+DH40/10)/(1-DH40/10))^2))/DZ40,DB40,1),1-TDIST((LN(((1+DH40/10)/(1-DH40/10))^2)-LN(((1+DA40/10)/(1-DA40/10))^2))/DZ40,DB40,1)))</f>
        <v>#VALUE!</v>
      </c>
      <c r="DQ40" s="113" t="s">
        <v>166</v>
      </c>
      <c r="DR40" s="100" t="e">
        <f>IF(DP40&lt;$BA$7,$AZ$7,IF(DP40&lt;$BC$7,$BB$7,IF(DP40&lt;$BE$7,$BD$7,IF(DP40&lt;$BG$7,$BF$7,IF(DP40&lt;$BI$7,$BH$7,IF(DP40&lt;$BK$7,$BJ$7,$BL$7))))))</f>
        <v>#VALUE!</v>
      </c>
      <c r="DS40" s="114" t="e">
        <f>100-DP40-DV40</f>
        <v>#VALUE!</v>
      </c>
      <c r="DT40" s="113" t="s">
        <v>166</v>
      </c>
      <c r="DU40" s="100" t="e">
        <f>IF(DS40&lt;$BA$7,$AZ$7,IF(DS40&lt;$BC$7,$BB$7,IF(DS40&lt;$BE$7,$BD$7,IF(DS40&lt;$BG$7,$BF$7,IF(DS40&lt;$BI$7,$BH$7,IF(DS40&lt;$BK$7,$BJ$7,$BL$7))))))</f>
        <v>#VALUE!</v>
      </c>
      <c r="DV40" s="112" t="e">
        <f>100*IF(LN(((1+DI40/10)/(1-DI40/10))^2)&gt;0,IF(LN(((1+DA40/10)/(1-DA40/10))^2)-LN(((1+DI40/10)/(1-DI40/10))^2)&gt;0,1-TDIST((LN(((1+DA40/10)/(1-DA40/10))^2)-LN(((1+DI40/10)/(1-DI40/10))^2))/DZ40,DB40,1),TDIST((LN(((1+DI40/10)/(1-DI40/10))^2)-LN(((1+DA40/10)/(1-DA40/10))^2))/DZ40,DB40,1)),IF(LN(((1+DA40/10)/(1-DA40/10))^2)-LN(((1+DI40/10)/(1-DI40/10))^2)&gt;0,TDIST((LN(((1+DA40/10)/(1-DA40/10))^2)-LN(((1+DI40/10)/(1-DI40/10))^2))/DZ40,DB40,1),1-TDIST((LN(((1+DI40/10)/(1-DI40/10))^2)-LN(((1+DA40/10)/(1-DA40/10))^2))/DZ40,DB40,1)))</f>
        <v>#VALUE!</v>
      </c>
      <c r="DW40" s="113" t="s">
        <v>166</v>
      </c>
      <c r="DX40" s="100" t="e">
        <f>IF(DV40&lt;$BA$7,$AZ$7,IF(DV40&lt;$BC$7,$BB$7,IF(DV40&lt;$BE$7,$BD$7,IF(DV40&lt;$BG$7,$BF$7,IF(DV40&lt;$BI$7,$BH$7,IF(DV40&lt;$BK$7,$BJ$7,$BL$7))))))</f>
        <v>#VALUE!</v>
      </c>
      <c r="DY40" s="115" t="e">
        <f>DP40/(100-DP40)/(DV40/(100-DV40))</f>
        <v>#VALUE!</v>
      </c>
      <c r="DZ40" s="105">
        <f>(LN(((1+DD40/10)/(1-DD40/10))^2)-LN(((1+DC40/10)/(1-DC40/10))^2))/2/TINV(1-DF40/100,DB40)</f>
        <v>0.49887749572739837</v>
      </c>
    </row>
    <row r="41" spans="3:130" ht="15.65" customHeight="1" x14ac:dyDescent="0.3">
      <c r="C41" s="44" t="s">
        <v>129</v>
      </c>
      <c r="D41" s="12">
        <v>0</v>
      </c>
      <c r="E41" s="1" t="s">
        <v>64</v>
      </c>
      <c r="F41" s="1" t="s">
        <v>64</v>
      </c>
      <c r="G41" s="12" t="s">
        <v>64</v>
      </c>
      <c r="H41" s="1" t="s">
        <v>64</v>
      </c>
      <c r="I41" s="1" t="s">
        <v>64</v>
      </c>
      <c r="J41" s="12" t="s">
        <v>64</v>
      </c>
      <c r="K41" s="1" t="s">
        <v>64</v>
      </c>
      <c r="L41" s="1" t="s">
        <v>64</v>
      </c>
      <c r="M41" s="1" t="s">
        <v>64</v>
      </c>
      <c r="N41" s="1" t="s">
        <v>64</v>
      </c>
      <c r="P41" s="26"/>
      <c r="Q41" s="46"/>
      <c r="R41" s="51"/>
      <c r="S41" s="51"/>
      <c r="T41" s="51"/>
      <c r="U41" s="18"/>
      <c r="Z41" s="5"/>
      <c r="AA41" s="5"/>
      <c r="AC41" s="5"/>
      <c r="AD41" s="5"/>
      <c r="AE41" s="7"/>
      <c r="AF41" s="5"/>
      <c r="AG41" s="5"/>
      <c r="AH41" s="5"/>
      <c r="AI41" s="8"/>
      <c r="AJ41" s="5"/>
      <c r="AK41" s="5"/>
      <c r="AL41" s="5"/>
      <c r="AM41" s="5"/>
      <c r="AN41" s="9"/>
      <c r="AO41" s="5"/>
      <c r="AS41" s="33"/>
      <c r="AT41" s="50"/>
      <c r="AU41" s="5"/>
      <c r="AV41" s="5"/>
      <c r="AY41" s="266" t="s">
        <v>170</v>
      </c>
      <c r="AZ41" s="267"/>
      <c r="BA41" s="267"/>
      <c r="BB41" s="267"/>
      <c r="BC41" s="267"/>
      <c r="BD41" s="267"/>
      <c r="BE41" s="268"/>
      <c r="BF41" s="277" t="s">
        <v>208</v>
      </c>
      <c r="BG41" s="278"/>
      <c r="BH41" s="281" t="s">
        <v>174</v>
      </c>
      <c r="BI41" s="282"/>
      <c r="BJ41" s="282"/>
      <c r="BK41" s="282"/>
      <c r="BL41" s="282"/>
      <c r="BM41" s="283"/>
      <c r="BN41" s="284" t="s">
        <v>150</v>
      </c>
      <c r="BO41" s="285"/>
      <c r="BP41" s="285"/>
      <c r="BQ41" s="285"/>
      <c r="BR41" s="285"/>
      <c r="BS41" s="285"/>
      <c r="BT41" s="285"/>
      <c r="BU41" s="285"/>
      <c r="BV41" s="286"/>
      <c r="BZ41" s="266" t="s">
        <v>169</v>
      </c>
      <c r="CA41" s="267"/>
      <c r="CB41" s="267"/>
      <c r="CC41" s="267"/>
      <c r="CD41" s="267"/>
      <c r="CE41" s="267"/>
      <c r="CF41" s="268"/>
      <c r="CG41" s="277" t="s">
        <v>208</v>
      </c>
      <c r="CH41" s="278"/>
      <c r="CI41" s="281" t="s">
        <v>180</v>
      </c>
      <c r="CJ41" s="282"/>
      <c r="CK41" s="282"/>
      <c r="CL41" s="282"/>
      <c r="CM41" s="282"/>
      <c r="CN41" s="283"/>
      <c r="CO41" s="284" t="s">
        <v>150</v>
      </c>
      <c r="CP41" s="285"/>
      <c r="CQ41" s="285"/>
      <c r="CR41" s="285"/>
      <c r="CS41" s="285"/>
      <c r="CT41" s="285"/>
      <c r="CU41" s="285"/>
      <c r="CV41" s="285"/>
      <c r="CW41" s="286"/>
      <c r="DA41" s="266" t="s">
        <v>173</v>
      </c>
      <c r="DB41" s="267"/>
      <c r="DC41" s="267"/>
      <c r="DD41" s="267"/>
      <c r="DE41" s="267"/>
      <c r="DF41" s="267"/>
      <c r="DG41" s="268"/>
      <c r="DH41" s="277" t="s">
        <v>208</v>
      </c>
      <c r="DI41" s="278"/>
      <c r="DJ41" s="281" t="s">
        <v>199</v>
      </c>
      <c r="DK41" s="282"/>
      <c r="DL41" s="282"/>
      <c r="DM41" s="282"/>
      <c r="DN41" s="282"/>
      <c r="DO41" s="283"/>
      <c r="DP41" s="284" t="s">
        <v>150</v>
      </c>
      <c r="DQ41" s="285"/>
      <c r="DR41" s="285"/>
      <c r="DS41" s="285"/>
      <c r="DT41" s="285"/>
      <c r="DU41" s="285"/>
      <c r="DV41" s="285"/>
      <c r="DW41" s="285"/>
      <c r="DX41" s="286"/>
    </row>
    <row r="42" spans="3:130" x14ac:dyDescent="0.3">
      <c r="C42" s="44" t="s">
        <v>43</v>
      </c>
      <c r="D42" s="12">
        <v>1.4129</v>
      </c>
      <c r="E42" s="1">
        <v>0.2611</v>
      </c>
      <c r="F42" s="1">
        <v>62</v>
      </c>
      <c r="G42" s="12">
        <v>5.41</v>
      </c>
      <c r="H42" s="1" t="s">
        <v>11</v>
      </c>
      <c r="I42" s="1">
        <v>0.1</v>
      </c>
      <c r="J42" s="12">
        <v>0.97689999999999999</v>
      </c>
      <c r="K42" s="1">
        <v>1.8488</v>
      </c>
      <c r="L42" s="1">
        <v>4.1078000000000001</v>
      </c>
      <c r="M42" s="1">
        <v>2.6562000000000001</v>
      </c>
      <c r="N42" s="1">
        <v>6.3525</v>
      </c>
      <c r="P42" s="5"/>
      <c r="Q42" s="27" t="str">
        <f>C42</f>
        <v>Mean @ -1SD MTPf</v>
      </c>
      <c r="R42" s="4">
        <f>L42/(1+L42)</f>
        <v>0.80422099534045965</v>
      </c>
      <c r="S42" s="4"/>
      <c r="T42" s="4"/>
      <c r="U42" s="26" t="str">
        <f>IF(ISBLANK(C41),"",C41)</f>
        <v>Fwds:</v>
      </c>
      <c r="V42" s="4"/>
      <c r="W42" s="5"/>
      <c r="X42" s="59" t="s">
        <v>195</v>
      </c>
      <c r="Y42" s="8"/>
      <c r="Z42" s="5"/>
      <c r="AA42" s="5"/>
      <c r="AC42" s="5"/>
      <c r="AD42" s="5"/>
      <c r="AE42" s="8" t="s">
        <v>191</v>
      </c>
      <c r="AF42" s="4"/>
      <c r="AG42" s="4"/>
      <c r="AH42" s="4"/>
      <c r="AI42" s="4" t="s">
        <v>75</v>
      </c>
      <c r="AJ42" s="5"/>
      <c r="AK42" s="55"/>
      <c r="AL42" s="55"/>
      <c r="AM42" s="59" t="s">
        <v>193</v>
      </c>
      <c r="AN42" s="55"/>
      <c r="AO42" s="55"/>
      <c r="AQ42" s="5"/>
      <c r="AR42" s="5"/>
      <c r="AS42" s="8" t="s">
        <v>184</v>
      </c>
      <c r="AT42" s="8"/>
      <c r="AU42" s="5"/>
      <c r="AV42" s="5"/>
      <c r="AY42" s="269" t="s">
        <v>175</v>
      </c>
      <c r="AZ42" s="271" t="s">
        <v>152</v>
      </c>
      <c r="BA42" s="273" t="s">
        <v>153</v>
      </c>
      <c r="BB42" s="274"/>
      <c r="BC42" s="275"/>
      <c r="BD42" s="306" t="s">
        <v>154</v>
      </c>
      <c r="BE42" s="307"/>
      <c r="BF42" s="106" t="s">
        <v>171</v>
      </c>
      <c r="BG42" s="107" t="s">
        <v>172</v>
      </c>
      <c r="BH42" s="273" t="str">
        <f>"Effect &amp; re-estimated "&amp;BE44&amp;"% confidence limits"</f>
        <v>Effect &amp; re-estimated 90% confidence limits</v>
      </c>
      <c r="BI42" s="274"/>
      <c r="BJ42" s="274"/>
      <c r="BK42" s="275"/>
      <c r="BL42" s="277" t="s">
        <v>155</v>
      </c>
      <c r="BM42" s="278"/>
      <c r="BN42" s="287" t="e">
        <f>"...beneficial or
substantially "&amp;BF43</f>
        <v>#VALUE!</v>
      </c>
      <c r="BO42" s="288"/>
      <c r="BP42" s="289"/>
      <c r="BQ42" s="311" t="s">
        <v>156</v>
      </c>
      <c r="BR42" s="293"/>
      <c r="BS42" s="294"/>
      <c r="BT42" s="297" t="e">
        <f>"...harmful or 
substantially "&amp;BG43</f>
        <v>#VALUE!</v>
      </c>
      <c r="BU42" s="298"/>
      <c r="BV42" s="299"/>
      <c r="BW42" s="303" t="s">
        <v>157</v>
      </c>
      <c r="BZ42" s="269" t="s">
        <v>151</v>
      </c>
      <c r="CA42" s="271" t="s">
        <v>152</v>
      </c>
      <c r="CB42" s="273" t="s">
        <v>153</v>
      </c>
      <c r="CC42" s="274"/>
      <c r="CD42" s="275"/>
      <c r="CE42" s="306" t="s">
        <v>154</v>
      </c>
      <c r="CF42" s="307"/>
      <c r="CG42" s="231" t="s">
        <v>171</v>
      </c>
      <c r="CH42" s="232" t="s">
        <v>172</v>
      </c>
      <c r="CI42" s="273" t="str">
        <f>"Effect &amp; re-estimated "&amp;CF44&amp;"% confidence limits"</f>
        <v>Effect &amp; re-estimated 90% confidence limits</v>
      </c>
      <c r="CJ42" s="274"/>
      <c r="CK42" s="274"/>
      <c r="CL42" s="275"/>
      <c r="CM42" s="277" t="s">
        <v>155</v>
      </c>
      <c r="CN42" s="278"/>
      <c r="CO42" s="287" t="e">
        <f>"...beneficial or
substantially "&amp;CG43</f>
        <v>#VALUE!</v>
      </c>
      <c r="CP42" s="288"/>
      <c r="CQ42" s="289"/>
      <c r="CR42" s="311" t="s">
        <v>156</v>
      </c>
      <c r="CS42" s="293"/>
      <c r="CT42" s="294"/>
      <c r="CU42" s="297" t="e">
        <f>"...harmful or 
substantially "&amp;CH43</f>
        <v>#VALUE!</v>
      </c>
      <c r="CV42" s="298"/>
      <c r="CW42" s="299"/>
      <c r="CX42" s="303" t="s">
        <v>157</v>
      </c>
      <c r="DA42" s="269" t="s">
        <v>151</v>
      </c>
      <c r="DB42" s="271" t="s">
        <v>152</v>
      </c>
      <c r="DC42" s="273" t="s">
        <v>153</v>
      </c>
      <c r="DD42" s="274"/>
      <c r="DE42" s="275"/>
      <c r="DF42" s="306" t="s">
        <v>154</v>
      </c>
      <c r="DG42" s="307"/>
      <c r="DH42" s="231" t="s">
        <v>171</v>
      </c>
      <c r="DI42" s="232" t="s">
        <v>172</v>
      </c>
      <c r="DJ42" s="273" t="str">
        <f>"Effect &amp; re-estimated "&amp;DG44&amp;"% confidence limits"</f>
        <v>Effect &amp; re-estimated 90% confidence limits</v>
      </c>
      <c r="DK42" s="274"/>
      <c r="DL42" s="274"/>
      <c r="DM42" s="275"/>
      <c r="DN42" s="277" t="s">
        <v>155</v>
      </c>
      <c r="DO42" s="278"/>
      <c r="DP42" s="287" t="e">
        <f>"...beneficial or
substantially "&amp;DH43</f>
        <v>#VALUE!</v>
      </c>
      <c r="DQ42" s="288"/>
      <c r="DR42" s="289"/>
      <c r="DS42" s="311" t="s">
        <v>156</v>
      </c>
      <c r="DT42" s="293"/>
      <c r="DU42" s="294"/>
      <c r="DV42" s="297" t="e">
        <f>"...harmful or 
substantially "&amp;DI43</f>
        <v>#VALUE!</v>
      </c>
      <c r="DW42" s="298"/>
      <c r="DX42" s="299"/>
      <c r="DY42" s="303" t="s">
        <v>157</v>
      </c>
    </row>
    <row r="43" spans="3:130" x14ac:dyDescent="0.3">
      <c r="C43" s="44" t="s">
        <v>44</v>
      </c>
      <c r="D43" s="12">
        <v>1.0103</v>
      </c>
      <c r="E43" s="1">
        <v>0.247</v>
      </c>
      <c r="F43" s="1">
        <v>62</v>
      </c>
      <c r="G43" s="12">
        <v>4.09</v>
      </c>
      <c r="H43" s="1">
        <v>1E-4</v>
      </c>
      <c r="I43" s="1">
        <v>0.1</v>
      </c>
      <c r="J43" s="12">
        <v>0.5978</v>
      </c>
      <c r="K43" s="1">
        <v>1.4227000000000001</v>
      </c>
      <c r="L43" s="1">
        <v>2.7463000000000002</v>
      </c>
      <c r="M43" s="1">
        <v>1.8181</v>
      </c>
      <c r="N43" s="1">
        <v>4.1482999999999999</v>
      </c>
      <c r="P43" s="5"/>
      <c r="Q43" s="27" t="str">
        <f>C43</f>
        <v>Mean @ +1SD MTPf</v>
      </c>
      <c r="R43" s="4">
        <f>L43/(1+L43)</f>
        <v>0.7330699623628647</v>
      </c>
      <c r="S43" s="4"/>
      <c r="T43" s="4"/>
      <c r="U43" s="14"/>
      <c r="V43" s="60" t="s">
        <v>2</v>
      </c>
      <c r="W43" s="60" t="s">
        <v>12</v>
      </c>
      <c r="X43" s="60" t="s">
        <v>13</v>
      </c>
      <c r="Y43" s="77" t="s">
        <v>141</v>
      </c>
      <c r="Z43" s="60" t="s">
        <v>61</v>
      </c>
      <c r="AA43" s="60" t="s">
        <v>60</v>
      </c>
      <c r="AC43" s="60" t="s">
        <v>2</v>
      </c>
      <c r="AD43" s="60" t="s">
        <v>12</v>
      </c>
      <c r="AE43" s="60" t="s">
        <v>13</v>
      </c>
      <c r="AF43" s="60" t="s">
        <v>61</v>
      </c>
      <c r="AG43" s="60" t="s">
        <v>60</v>
      </c>
      <c r="AH43" s="60"/>
      <c r="AI43" s="61" t="s">
        <v>83</v>
      </c>
      <c r="AJ43" s="5"/>
      <c r="AK43" s="60" t="s">
        <v>2</v>
      </c>
      <c r="AL43" s="60" t="s">
        <v>12</v>
      </c>
      <c r="AM43" s="60" t="s">
        <v>13</v>
      </c>
      <c r="AN43" s="62" t="s">
        <v>61</v>
      </c>
      <c r="AO43" s="62" t="s">
        <v>60</v>
      </c>
      <c r="AQ43" s="60" t="s">
        <v>2</v>
      </c>
      <c r="AR43" s="60" t="s">
        <v>12</v>
      </c>
      <c r="AS43" s="60" t="s">
        <v>13</v>
      </c>
      <c r="AT43" s="60" t="s">
        <v>139</v>
      </c>
      <c r="AU43" s="62" t="s">
        <v>61</v>
      </c>
      <c r="AV43" s="62" t="s">
        <v>60</v>
      </c>
      <c r="AY43" s="270"/>
      <c r="AZ43" s="305"/>
      <c r="BA43" s="87" t="s">
        <v>158</v>
      </c>
      <c r="BB43" s="88" t="s">
        <v>159</v>
      </c>
      <c r="BC43" s="93" t="s">
        <v>168</v>
      </c>
      <c r="BD43" s="89" t="s">
        <v>160</v>
      </c>
      <c r="BE43" s="90" t="s">
        <v>161</v>
      </c>
      <c r="BF43" s="91" t="e">
        <f>IF(BF44&lt;1,"decr.","incr.")</f>
        <v>#VALUE!</v>
      </c>
      <c r="BG43" s="92" t="e">
        <f>IF(BG44&gt;1,"incr.","decr.")</f>
        <v>#VALUE!</v>
      </c>
      <c r="BH43" s="83" t="s">
        <v>17</v>
      </c>
      <c r="BI43" s="90" t="s">
        <v>162</v>
      </c>
      <c r="BJ43" s="90" t="s">
        <v>163</v>
      </c>
      <c r="BK43" s="93" t="s">
        <v>168</v>
      </c>
      <c r="BL43" s="94" t="s">
        <v>164</v>
      </c>
      <c r="BM43" s="95" t="s">
        <v>165</v>
      </c>
      <c r="BN43" s="308"/>
      <c r="BO43" s="309"/>
      <c r="BP43" s="310"/>
      <c r="BQ43" s="312"/>
      <c r="BR43" s="313"/>
      <c r="BS43" s="314"/>
      <c r="BT43" s="315"/>
      <c r="BU43" s="316"/>
      <c r="BV43" s="317"/>
      <c r="BW43" s="304"/>
      <c r="BX43" s="97" t="s">
        <v>167</v>
      </c>
      <c r="BZ43" s="270"/>
      <c r="CA43" s="305"/>
      <c r="CB43" s="87" t="s">
        <v>158</v>
      </c>
      <c r="CC43" s="88" t="s">
        <v>159</v>
      </c>
      <c r="CD43" s="93" t="s">
        <v>138</v>
      </c>
      <c r="CE43" s="89" t="s">
        <v>160</v>
      </c>
      <c r="CF43" s="90" t="s">
        <v>161</v>
      </c>
      <c r="CG43" s="217" t="e">
        <f t="shared" ref="CG43" si="25">IF(CG44&lt;0,"decr.","incr.")</f>
        <v>#VALUE!</v>
      </c>
      <c r="CH43" s="218" t="e">
        <f t="shared" ref="CH43" si="26">IF(CH44&gt;0,"incr.","decr.")</f>
        <v>#VALUE!</v>
      </c>
      <c r="CI43" s="83" t="s">
        <v>17</v>
      </c>
      <c r="CJ43" s="90" t="s">
        <v>162</v>
      </c>
      <c r="CK43" s="90" t="s">
        <v>163</v>
      </c>
      <c r="CL43" s="93" t="s">
        <v>138</v>
      </c>
      <c r="CM43" s="94" t="s">
        <v>164</v>
      </c>
      <c r="CN43" s="95" t="s">
        <v>165</v>
      </c>
      <c r="CO43" s="308"/>
      <c r="CP43" s="309"/>
      <c r="CQ43" s="310"/>
      <c r="CR43" s="312"/>
      <c r="CS43" s="313"/>
      <c r="CT43" s="314"/>
      <c r="CU43" s="315"/>
      <c r="CV43" s="316"/>
      <c r="CW43" s="317"/>
      <c r="CX43" s="304"/>
      <c r="CY43" s="96" t="s">
        <v>167</v>
      </c>
      <c r="DA43" s="270"/>
      <c r="DB43" s="305"/>
      <c r="DC43" s="87" t="s">
        <v>158</v>
      </c>
      <c r="DD43" s="88" t="s">
        <v>159</v>
      </c>
      <c r="DE43" s="93" t="s">
        <v>138</v>
      </c>
      <c r="DF43" s="89" t="s">
        <v>160</v>
      </c>
      <c r="DG43" s="90" t="s">
        <v>161</v>
      </c>
      <c r="DH43" s="217" t="e">
        <f t="shared" ref="DH43" si="27">IF(DH44&lt;0,"decr.","incr.")</f>
        <v>#VALUE!</v>
      </c>
      <c r="DI43" s="218" t="e">
        <f t="shared" ref="DI43" si="28">IF(DI44&gt;0,"incr.","decr.")</f>
        <v>#VALUE!</v>
      </c>
      <c r="DJ43" s="83" t="s">
        <v>17</v>
      </c>
      <c r="DK43" s="90" t="s">
        <v>162</v>
      </c>
      <c r="DL43" s="90" t="s">
        <v>163</v>
      </c>
      <c r="DM43" s="93" t="s">
        <v>138</v>
      </c>
      <c r="DN43" s="94" t="s">
        <v>164</v>
      </c>
      <c r="DO43" s="95" t="s">
        <v>165</v>
      </c>
      <c r="DP43" s="308"/>
      <c r="DQ43" s="309"/>
      <c r="DR43" s="310"/>
      <c r="DS43" s="312"/>
      <c r="DT43" s="313"/>
      <c r="DU43" s="314"/>
      <c r="DV43" s="315"/>
      <c r="DW43" s="316"/>
      <c r="DX43" s="317"/>
      <c r="DY43" s="304"/>
      <c r="DZ43" s="96" t="s">
        <v>167</v>
      </c>
    </row>
    <row r="44" spans="3:130" x14ac:dyDescent="0.3">
      <c r="C44" s="44" t="s">
        <v>81</v>
      </c>
      <c r="D44" s="12">
        <v>-0.40260000000000001</v>
      </c>
      <c r="E44" s="1">
        <v>0.29370000000000002</v>
      </c>
      <c r="F44" s="1">
        <v>62</v>
      </c>
      <c r="G44" s="12">
        <v>-1.37</v>
      </c>
      <c r="H44" s="1">
        <v>0.1754</v>
      </c>
      <c r="I44" s="1">
        <v>0.1</v>
      </c>
      <c r="J44" s="12">
        <v>-0.8931</v>
      </c>
      <c r="K44" s="1">
        <v>8.7809999999999999E-2</v>
      </c>
      <c r="L44" s="1">
        <v>0.66859999999999997</v>
      </c>
      <c r="M44" s="1">
        <v>0.40939999999999999</v>
      </c>
      <c r="N44" s="1">
        <v>1.0918000000000001</v>
      </c>
      <c r="P44" s="5"/>
      <c r="R44" s="5"/>
      <c r="S44" s="5"/>
      <c r="T44" s="5"/>
      <c r="U44" s="26" t="str">
        <f>C44</f>
        <v>MTPf +1SD/-1SD</v>
      </c>
      <c r="V44" s="48">
        <f>L42*L44/(1+L42*L44)/R42</f>
        <v>0.9115435194620326</v>
      </c>
      <c r="W44" s="48">
        <f>EXP(LN(V44)-_xlfn.T.INV.2T(I44,F44)*ABS(LN(V44))/ABS(G44))</f>
        <v>0.81424049673759347</v>
      </c>
      <c r="X44" s="48">
        <f>EXP(LN(V44)+_xlfn.T.INV.2T(I44,F44)*ABS(LN(V44))/ABS(G44))</f>
        <v>1.0204744067660985</v>
      </c>
      <c r="Y44" s="48">
        <f>SQRT(X44/W44)</f>
        <v>1.1195015761489411</v>
      </c>
      <c r="Z44" s="4">
        <f>$V$26</f>
        <v>0.9</v>
      </c>
      <c r="AA44" s="4">
        <f>$V$27</f>
        <v>1.1111111111111112</v>
      </c>
      <c r="AC44" s="4">
        <f>D44</f>
        <v>-0.40260000000000001</v>
      </c>
      <c r="AD44" s="4">
        <f>J44</f>
        <v>-0.8931</v>
      </c>
      <c r="AE44" s="4">
        <f>K44</f>
        <v>8.7809999999999999E-2</v>
      </c>
      <c r="AF44" s="4">
        <f>LN(Z44*R42/(1-Z44*R42)/L42)</f>
        <v>-0.44950325858325929</v>
      </c>
      <c r="AG44" s="4">
        <f>LN(AA44*R42/(1-AA44*R42)/L42)</f>
        <v>0.71494299293040242</v>
      </c>
      <c r="AH44" s="4"/>
      <c r="AI44" s="4">
        <f>SQRT($D$11+$D$13*(1/($H$4*$R42)+1/($H$4*(1-$R42))))</f>
        <v>1.0940020004348612</v>
      </c>
      <c r="AJ44" s="5"/>
      <c r="AK44" s="4">
        <f>AC44/AI44</f>
        <v>-0.36800663969532799</v>
      </c>
      <c r="AL44" s="4">
        <f>AD44/AI44</f>
        <v>-0.81636048164902486</v>
      </c>
      <c r="AM44" s="4">
        <f>AE44/AI44</f>
        <v>8.0264935498377418E-2</v>
      </c>
      <c r="AN44" s="143">
        <f>$AK$26</f>
        <v>-0.2</v>
      </c>
      <c r="AO44" s="143">
        <f>$AK$27</f>
        <v>0.2</v>
      </c>
      <c r="AQ44" s="50">
        <f>10*(2*SQRT(L44)/(1+SQRT(L44))-1)</f>
        <v>-1.0030389939417483</v>
      </c>
      <c r="AR44" s="50">
        <f>10*(2*SQRT(M44)/(1+SQRT(M44))-1)</f>
        <v>-2.1962840866286615</v>
      </c>
      <c r="AS44" s="50">
        <f>10*(2*SQRT(N44)/(1+SQRT(N44))-1)</f>
        <v>0.2195339974462196</v>
      </c>
      <c r="AT44" s="50">
        <f>(AS44-AR44)/2</f>
        <v>1.2079090420374405</v>
      </c>
      <c r="AU44" s="10">
        <f>$AQ$26</f>
        <v>-1</v>
      </c>
      <c r="AV44" s="10">
        <f>$AQ$27</f>
        <v>1</v>
      </c>
      <c r="AW44" s="6" t="str">
        <f>U44</f>
        <v>MTPf +1SD/-1SD</v>
      </c>
      <c r="AY44" s="108">
        <f>V44</f>
        <v>0.9115435194620326</v>
      </c>
      <c r="AZ44" s="109">
        <f>F44</f>
        <v>62</v>
      </c>
      <c r="BA44" s="108">
        <f>W44</f>
        <v>0.81424049673759347</v>
      </c>
      <c r="BB44" s="108">
        <f>X44</f>
        <v>1.0204744067660985</v>
      </c>
      <c r="BC44" s="108">
        <f>SQRT(BB44/BA44)</f>
        <v>1.1195015761489411</v>
      </c>
      <c r="BD44" s="110">
        <f>100*(1-I44)</f>
        <v>90</v>
      </c>
      <c r="BE44" s="102">
        <f>100-2*$BC$7</f>
        <v>90</v>
      </c>
      <c r="BF44" s="108" t="e">
        <f>$P$5*Z44+$Q$5*AA44</f>
        <v>#VALUE!</v>
      </c>
      <c r="BG44" s="108" t="e">
        <f>$Q$5*Z44+$P$5*AA44</f>
        <v>#VALUE!</v>
      </c>
      <c r="BH44" s="103">
        <f>AY44</f>
        <v>0.9115435194620326</v>
      </c>
      <c r="BI44" s="103">
        <f>EXP(LN(AY44)-TINV((100-BE44)/100,AZ44)*BX44)</f>
        <v>0.81424049673759347</v>
      </c>
      <c r="BJ44" s="103">
        <f>EXP(LN(AY44)+TINV((100-BE44)/100,AZ44)*BX44)</f>
        <v>1.0204744067660985</v>
      </c>
      <c r="BK44" s="103">
        <f>SQRT(BJ44/BI44)</f>
        <v>1.1195015761489411</v>
      </c>
      <c r="BL44" s="118" t="e">
        <f>IF(BN44&lt;$BE$7,IF(MAX(BQ44,BT44)=BQ44,BS44&amp;" trivial; don't use",BV44&amp;" harmful; don't use"),IF(BT44&lt;$BA$7,BP44&amp;" beneficial; use","unclear; don't use"))</f>
        <v>#VALUE!</v>
      </c>
      <c r="BM44" s="118" t="e">
        <f>IF(MIN(BN44,BT44)&gt;$BC$7,"unclear",IF(MAX(BN44,BQ44,BT44)=BN44,BP44&amp;" "&amp;BF43,IF(MAX(BN44,BQ44,BT44)=BQ44,BS44&amp;" trivial",BV44&amp;" "&amp;BG43)))</f>
        <v>#VALUE!</v>
      </c>
      <c r="BN44" s="98" t="e">
        <f>100*IF(LN(BF44)&gt;0,IF(LN(AY44)-LN(BF44)&gt;0,1-TDIST((LN(AY44)-LN(BF44))/BX44,AZ44,1),TDIST((LN(BF44)-LN(AY44))/BX44,AZ44,1)),IF(LN(AY44)-LN(BF44)&gt;0,TDIST((LN(AY44)-LN(BF44))/BX44,AZ44,1),1-TDIST((LN(BF44)-LN(AY44))/BX44,AZ44,1)))</f>
        <v>#VALUE!</v>
      </c>
      <c r="BO44" s="99" t="s">
        <v>166</v>
      </c>
      <c r="BP44" s="100" t="e">
        <f>IF(BN44&lt;$BA$7,$AZ$7,IF(BN44&lt;$BC$7,$BB$7,IF(BN44&lt;$BE$7,$BD$7,IF(BN44&lt;$BG$7,$BF$7,IF(BN44&lt;$BI$7,$BH$7,IF(BN44&lt;$BK$7,$BJ$7,$BL$7))))))</f>
        <v>#VALUE!</v>
      </c>
      <c r="BQ44" s="101" t="e">
        <f>100-BN44-BT44</f>
        <v>#VALUE!</v>
      </c>
      <c r="BR44" s="99" t="s">
        <v>166</v>
      </c>
      <c r="BS44" s="100" t="e">
        <f>IF(BQ44&lt;$BA$7,$AZ$7,IF(BQ44&lt;$BC$7,$BB$7,IF(BQ44&lt;$BE$7,$BD$7,IF(BQ44&lt;$BG$7,$BF$7,IF(BQ44&lt;$BI$7,$BH$7,IF(BQ44&lt;$BK$7,$BJ$7,$BL$7))))))</f>
        <v>#VALUE!</v>
      </c>
      <c r="BT44" s="98" t="e">
        <f>100*IF(LN(BG44)&gt;0,IF(LN(AY44)-LN(BG44)&gt;0,1-TDIST((LN(AY44)-LN(BG44))/BX44,AZ44,1),TDIST((LN(BG44)-LN(AY44))/BX44,AZ44,1)),IF(LN(AY44)-LN(BG44)&gt;0,TDIST((LN(AY44)-LN(BG44))/BX44,AZ44,1),1-TDIST((LN(BG44)-LN(AY44))/BX44,AZ44,1)))</f>
        <v>#VALUE!</v>
      </c>
      <c r="BU44" s="99" t="s">
        <v>166</v>
      </c>
      <c r="BV44" s="100" t="e">
        <f>IF(BT44&lt;$BA$7,$AZ$7,IF(BT44&lt;$BC$7,$BB$7,IF(BT44&lt;$BE$7,$BD$7,IF(BT44&lt;$BG$7,$BF$7,IF(BT44&lt;$BI$7,$BH$7,IF(BT44&lt;$BK$7,$BJ$7,$BL$7))))))</f>
        <v>#VALUE!</v>
      </c>
      <c r="BW44" s="115" t="e">
        <f>BN44/(100-BN44)/(BT44/(100-BT44))</f>
        <v>#VALUE!</v>
      </c>
      <c r="BX44" s="105">
        <f>(LN(BB44)-LN(BA44))/2/TINV(1-BD44/100,AZ44)</f>
        <v>6.7602876729107669E-2</v>
      </c>
      <c r="BY44" s="24" t="str">
        <f>U44</f>
        <v>MTPf +1SD/-1SD</v>
      </c>
      <c r="BZ44" s="111">
        <f>AK44</f>
        <v>-0.36800663969532799</v>
      </c>
      <c r="CA44" s="109">
        <f>F44</f>
        <v>62</v>
      </c>
      <c r="CB44" s="111">
        <f>AL44</f>
        <v>-0.81636048164902486</v>
      </c>
      <c r="CC44" s="111">
        <f>AM44</f>
        <v>8.0264935498377418E-2</v>
      </c>
      <c r="CD44" s="111">
        <f>(CC44-CB44)/2</f>
        <v>0.44831270857370115</v>
      </c>
      <c r="CE44" s="109">
        <f>100*(1-I44)</f>
        <v>90</v>
      </c>
      <c r="CF44" s="102">
        <f>100-2*$BC$7</f>
        <v>90</v>
      </c>
      <c r="CG44" s="233" t="e">
        <f t="shared" ref="CG44" si="29">$P$5*AN44+$Q$5*AO44</f>
        <v>#VALUE!</v>
      </c>
      <c r="CH44" s="233" t="e">
        <f t="shared" ref="CH44" si="30">$Q$5*AN44+$P$5*AO44</f>
        <v>#VALUE!</v>
      </c>
      <c r="CI44" s="117">
        <f>BZ44</f>
        <v>-0.36800663969532799</v>
      </c>
      <c r="CJ44" s="117">
        <f>BZ44-TINV((100-CF44)/100,CA44)*CY44</f>
        <v>-0.81631934826902919</v>
      </c>
      <c r="CK44" s="117">
        <f>BZ44+TINV((100-CF44)/100,CA44)*CY44</f>
        <v>8.0306068878373216E-2</v>
      </c>
      <c r="CL44" s="117">
        <f>(CK44-CJ44)/2</f>
        <v>0.4483127085737012</v>
      </c>
      <c r="CM44" s="118" t="e">
        <f>IF(CO44&lt;$BE$7,IF(MAX(CR44,CU44)=CR44,CT44&amp;" trivial; don't use",CW44&amp;" harmful; don't use"),IF(CU44&lt;$BA$7,CQ44&amp;" beneficial; use","unclear; don't use"))</f>
        <v>#VALUE!</v>
      </c>
      <c r="CN44" s="118" t="e">
        <f>IF(MIN(CO44,CU44)&gt;$BC$7,"unclear",IF(MAX(CO44,CR44,CU44)=CO44,CQ44&amp;" "&amp;CG43,IF(MAX(CO44,CR44,CU44)=CR44,CT44&amp;" trivial",CW44&amp;" "&amp;CH43)))</f>
        <v>#VALUE!</v>
      </c>
      <c r="CO44" s="112" t="e">
        <f>100*IF(CG44&gt;0,IF(BZ44-CG44&gt;0,1-TDIST((BZ44-CG44)/CY44,CA44,1),TDIST((CG44-BZ44)/CY44,CA44,1)),IF(BZ44-CG44&gt;0,TDIST((BZ44-CG44)/CY44,CA44,1),1-TDIST((CG44-BZ44)/CY44,CA44,1)))</f>
        <v>#VALUE!</v>
      </c>
      <c r="CP44" s="113" t="s">
        <v>166</v>
      </c>
      <c r="CQ44" s="100" t="e">
        <f>IF(CO44&lt;$BA$7,$AZ$7,IF(CO44&lt;$BC$7,$BB$7,IF(CO44&lt;$BE$7,$BD$7,IF(CO44&lt;$BG$7,$BF$7,IF(CO44&lt;$BI$7,$BH$7,IF(CO44&lt;$BK$7,$BJ$7,$BL$7))))))</f>
        <v>#VALUE!</v>
      </c>
      <c r="CR44" s="114" t="e">
        <f>100-CO44-CU44</f>
        <v>#VALUE!</v>
      </c>
      <c r="CS44" s="113" t="s">
        <v>166</v>
      </c>
      <c r="CT44" s="100" t="e">
        <f>IF(CR44&lt;$BA$7,$AZ$7,IF(CR44&lt;$BC$7,$BB$7,IF(CR44&lt;$BE$7,$BD$7,IF(CR44&lt;$BG$7,$BF$7,IF(CR44&lt;$BI$7,$BH$7,IF(CR44&lt;$BK$7,$BJ$7,$BL$7))))))</f>
        <v>#VALUE!</v>
      </c>
      <c r="CU44" s="112" t="e">
        <f>100*IF(CH44&gt;0,IF(BZ44-CH44&gt;0,1-TDIST((BZ44-CH44)/CY44,CA44,1),TDIST((CH44-BZ44)/CY44,CA44,1)),IF(BZ44-CH44&gt;0,TDIST((BZ44-CH44)/CY44,CA44,1),1-TDIST((CH44-BZ44)/CY44,CA44,1)))</f>
        <v>#VALUE!</v>
      </c>
      <c r="CV44" s="113" t="s">
        <v>166</v>
      </c>
      <c r="CW44" s="100" t="e">
        <f>IF(CU44&lt;$BA$7,$AZ$7,IF(CU44&lt;$BC$7,$BB$7,IF(CU44&lt;$BE$7,$BD$7,IF(CU44&lt;$BG$7,$BF$7,IF(CU44&lt;$BI$7,$BH$7,IF(CU44&lt;$BK$7,$BJ$7,$BL$7))))))</f>
        <v>#VALUE!</v>
      </c>
      <c r="CX44" s="115" t="e">
        <f>CO44/(100-CO44)/(CU44/(100-CU44))</f>
        <v>#VALUE!</v>
      </c>
      <c r="CY44" s="105">
        <f>(CC44-CB44)/2/TINV(1-CE44/100,CA44)</f>
        <v>0.26848220805682438</v>
      </c>
      <c r="CZ44" s="24" t="str">
        <f>U44</f>
        <v>MTPf +1SD/-1SD</v>
      </c>
      <c r="DA44" s="116">
        <f>AQ44</f>
        <v>-1.0030389939417483</v>
      </c>
      <c r="DB44" s="109">
        <f>F44</f>
        <v>62</v>
      </c>
      <c r="DC44" s="116">
        <f>AR44</f>
        <v>-2.1962840866286615</v>
      </c>
      <c r="DD44" s="116">
        <f>AS44</f>
        <v>0.2195339974462196</v>
      </c>
      <c r="DE44" s="116">
        <f>(DD44-DC44)/2</f>
        <v>1.2079090420374405</v>
      </c>
      <c r="DF44" s="109">
        <f>100*(1-I44)</f>
        <v>90</v>
      </c>
      <c r="DG44" s="102">
        <f>100-2*$BC$7</f>
        <v>90</v>
      </c>
      <c r="DH44" s="241" t="e">
        <f t="shared" ref="DH44" si="31">$P$5*AU44+$Q$5*AV44</f>
        <v>#VALUE!</v>
      </c>
      <c r="DI44" s="241" t="e">
        <f t="shared" ref="DI44" si="32">$Q$5*AU44+$P$5*AV44</f>
        <v>#VALUE!</v>
      </c>
      <c r="DJ44" s="104">
        <f>DA44</f>
        <v>-1.0030389939417483</v>
      </c>
      <c r="DK44" s="104">
        <f>10*(2*SQRT(EXP(LN(((1+DA44/10)/(1-DA44/10))^2)-TINV((100-DG44)/100,DB44)*DZ44))/(1+SQRT(EXP(LN(((1+DA44/10)/(1-DA44/10))^2)-TINV((100-DG44)/100,DB44)*DZ44)))-1)</f>
        <v>-2.1961695351842234</v>
      </c>
      <c r="DL44" s="104">
        <f>10*(2*SQRT(EXP(LN(((1+DA44/10)/(1-DA44/10))^2)+TINV((100-DG44)/100,DB44)*DZ44))/(1+SQRT(EXP(LN(((1+DA44/10)/(1-DA44/10))^2)+TINV((100-DG44)/100,DB44)*DZ44)))-1)</f>
        <v>0.21965429615472098</v>
      </c>
      <c r="DM44" s="104">
        <f>(DL44-DK44)/2</f>
        <v>1.2079119156694722</v>
      </c>
      <c r="DN44" s="118" t="e">
        <f>IF(DP44&lt;$BE$7,IF(MAX(DS44,DV44)=DS44,DU44&amp;" trivial; don't use",DX44&amp;" harmful; don't use"),IF(DV44&lt;$BA$7,DR44&amp;" beneficial; use","unclear; don't use"))</f>
        <v>#VALUE!</v>
      </c>
      <c r="DO44" s="118" t="e">
        <f>IF(MIN(DP44,DV44)&gt;$BC$7,"unclear",IF(MAX(DP44,DS44,DV44)=DP44,DR44&amp;" "&amp;DH43,IF(MAX(DP44,DS44,DV44)=DS44,DU44&amp;" trivial",DX44&amp;" "&amp;DI43)))</f>
        <v>#VALUE!</v>
      </c>
      <c r="DP44" s="112" t="e">
        <f>100*IF(LN(((1+DH44/10)/(1-DH44/10))^2)&gt;0,IF(LN(((1+DA44/10)/(1-DA44/10))^2)-LN(((1+DH44/10)/(1-DH44/10))^2)&gt;0,1-TDIST((LN(((1+DA44/10)/(1-DA44/10))^2)-LN(((1+DH44/10)/(1-DH44/10))^2))/DZ44,DB44,1),TDIST((LN(((1+DH44/10)/(1-DH44/10))^2)-LN(((1+DA44/10)/(1-DA44/10))^2))/DZ44,DB44,1)),IF(LN(((1+DA44/10)/(1-DA44/10))^2)-LN(((1+DH44/10)/(1-DH44/10))^2)&gt;0,TDIST((LN(((1+DA44/10)/(1-DA44/10))^2)-LN(((1+DH44/10)/(1-DH44/10))^2))/DZ44,DB44,1),1-TDIST((LN(((1+DH44/10)/(1-DH44/10))^2)-LN(((1+DA44/10)/(1-DA44/10))^2))/DZ44,DB44,1)))</f>
        <v>#VALUE!</v>
      </c>
      <c r="DQ44" s="113" t="s">
        <v>166</v>
      </c>
      <c r="DR44" s="100" t="e">
        <f>IF(DP44&lt;$BA$7,$AZ$7,IF(DP44&lt;$BC$7,$BB$7,IF(DP44&lt;$BE$7,$BD$7,IF(DP44&lt;$BG$7,$BF$7,IF(DP44&lt;$BI$7,$BH$7,IF(DP44&lt;$BK$7,$BJ$7,$BL$7))))))</f>
        <v>#VALUE!</v>
      </c>
      <c r="DS44" s="114" t="e">
        <f>100-DP44-DV44</f>
        <v>#VALUE!</v>
      </c>
      <c r="DT44" s="113" t="s">
        <v>166</v>
      </c>
      <c r="DU44" s="100" t="e">
        <f>IF(DS44&lt;$BA$7,$AZ$7,IF(DS44&lt;$BC$7,$BB$7,IF(DS44&lt;$BE$7,$BD$7,IF(DS44&lt;$BG$7,$BF$7,IF(DS44&lt;$BI$7,$BH$7,IF(DS44&lt;$BK$7,$BJ$7,$BL$7))))))</f>
        <v>#VALUE!</v>
      </c>
      <c r="DV44" s="112" t="e">
        <f>100*IF(LN(((1+DI44/10)/(1-DI44/10))^2)&gt;0,IF(LN(((1+DA44/10)/(1-DA44/10))^2)-LN(((1+DI44/10)/(1-DI44/10))^2)&gt;0,1-TDIST((LN(((1+DA44/10)/(1-DA44/10))^2)-LN(((1+DI44/10)/(1-DI44/10))^2))/DZ44,DB44,1),TDIST((LN(((1+DI44/10)/(1-DI44/10))^2)-LN(((1+DA44/10)/(1-DA44/10))^2))/DZ44,DB44,1)),IF(LN(((1+DA44/10)/(1-DA44/10))^2)-LN(((1+DI44/10)/(1-DI44/10))^2)&gt;0,TDIST((LN(((1+DA44/10)/(1-DA44/10))^2)-LN(((1+DI44/10)/(1-DI44/10))^2))/DZ44,DB44,1),1-TDIST((LN(((1+DI44/10)/(1-DI44/10))^2)-LN(((1+DA44/10)/(1-DA44/10))^2))/DZ44,DB44,1)))</f>
        <v>#VALUE!</v>
      </c>
      <c r="DW44" s="113" t="s">
        <v>166</v>
      </c>
      <c r="DX44" s="100" t="e">
        <f>IF(DV44&lt;$BA$7,$AZ$7,IF(DV44&lt;$BC$7,$BB$7,IF(DV44&lt;$BE$7,$BD$7,IF(DV44&lt;$BG$7,$BF$7,IF(DV44&lt;$BI$7,$BH$7,IF(DV44&lt;$BK$7,$BJ$7,$BL$7))))))</f>
        <v>#VALUE!</v>
      </c>
      <c r="DY44" s="115" t="e">
        <f>DP44/(100-DP44)/(DV44/(100-DV44))</f>
        <v>#VALUE!</v>
      </c>
      <c r="DZ44" s="105">
        <f>(LN(((1+DD44/10)/(1-DD44/10))^2)-LN(((1+DC44/10)/(1-DC44/10))^2))/2/TINV(1-DF44/100,DB44)</f>
        <v>0.29371417862704402</v>
      </c>
    </row>
    <row r="45" spans="3:130" ht="15.65" customHeight="1" x14ac:dyDescent="0.3">
      <c r="C45" s="44" t="s">
        <v>134</v>
      </c>
      <c r="D45" s="12">
        <v>0</v>
      </c>
      <c r="E45" s="1" t="s">
        <v>64</v>
      </c>
      <c r="F45" s="1" t="s">
        <v>64</v>
      </c>
      <c r="G45" s="12" t="s">
        <v>64</v>
      </c>
      <c r="H45" s="1" t="s">
        <v>64</v>
      </c>
      <c r="I45" s="1" t="s">
        <v>64</v>
      </c>
      <c r="J45" s="12" t="s">
        <v>64</v>
      </c>
      <c r="K45" s="1" t="s">
        <v>64</v>
      </c>
      <c r="L45" s="1" t="s">
        <v>64</v>
      </c>
      <c r="M45" s="1" t="s">
        <v>64</v>
      </c>
      <c r="N45" s="1" t="s">
        <v>64</v>
      </c>
      <c r="P45" s="26"/>
      <c r="Q45" s="46"/>
      <c r="R45" s="51"/>
      <c r="S45" s="51"/>
      <c r="T45" s="51"/>
      <c r="U45" s="18"/>
      <c r="Z45" s="5"/>
      <c r="AA45" s="5"/>
      <c r="AC45" s="5"/>
      <c r="AD45" s="5"/>
      <c r="AE45" s="7"/>
      <c r="AF45" s="5"/>
      <c r="AG45" s="5"/>
      <c r="AH45" s="5"/>
      <c r="AI45" s="8"/>
      <c r="AJ45" s="5"/>
      <c r="AK45" s="5"/>
      <c r="AL45" s="5"/>
      <c r="AM45" s="5"/>
      <c r="AN45" s="9"/>
      <c r="AO45" s="5"/>
      <c r="AS45" s="33"/>
      <c r="AT45" s="50"/>
      <c r="AU45" s="5"/>
      <c r="AV45" s="5"/>
      <c r="AY45" s="266" t="s">
        <v>170</v>
      </c>
      <c r="AZ45" s="267"/>
      <c r="BA45" s="267"/>
      <c r="BB45" s="267"/>
      <c r="BC45" s="267"/>
      <c r="BD45" s="267"/>
      <c r="BE45" s="268"/>
      <c r="BF45" s="277" t="s">
        <v>208</v>
      </c>
      <c r="BG45" s="278"/>
      <c r="BH45" s="281" t="s">
        <v>174</v>
      </c>
      <c r="BI45" s="282"/>
      <c r="BJ45" s="282"/>
      <c r="BK45" s="282"/>
      <c r="BL45" s="282"/>
      <c r="BM45" s="283"/>
      <c r="BN45" s="284" t="s">
        <v>150</v>
      </c>
      <c r="BO45" s="285"/>
      <c r="BP45" s="285"/>
      <c r="BQ45" s="285"/>
      <c r="BR45" s="285"/>
      <c r="BS45" s="285"/>
      <c r="BT45" s="285"/>
      <c r="BU45" s="285"/>
      <c r="BV45" s="286"/>
      <c r="BZ45" s="266" t="s">
        <v>169</v>
      </c>
      <c r="CA45" s="267"/>
      <c r="CB45" s="267"/>
      <c r="CC45" s="267"/>
      <c r="CD45" s="267"/>
      <c r="CE45" s="267"/>
      <c r="CF45" s="268"/>
      <c r="CG45" s="277" t="s">
        <v>208</v>
      </c>
      <c r="CH45" s="278"/>
      <c r="CI45" s="281" t="s">
        <v>180</v>
      </c>
      <c r="CJ45" s="282"/>
      <c r="CK45" s="282"/>
      <c r="CL45" s="282"/>
      <c r="CM45" s="282"/>
      <c r="CN45" s="283"/>
      <c r="CO45" s="284" t="s">
        <v>150</v>
      </c>
      <c r="CP45" s="285"/>
      <c r="CQ45" s="285"/>
      <c r="CR45" s="285"/>
      <c r="CS45" s="285"/>
      <c r="CT45" s="285"/>
      <c r="CU45" s="285"/>
      <c r="CV45" s="285"/>
      <c r="CW45" s="286"/>
      <c r="DA45" s="266" t="s">
        <v>173</v>
      </c>
      <c r="DB45" s="267"/>
      <c r="DC45" s="267"/>
      <c r="DD45" s="267"/>
      <c r="DE45" s="267"/>
      <c r="DF45" s="267"/>
      <c r="DG45" s="268"/>
      <c r="DH45" s="277" t="s">
        <v>208</v>
      </c>
      <c r="DI45" s="278"/>
      <c r="DJ45" s="281" t="s">
        <v>199</v>
      </c>
      <c r="DK45" s="282"/>
      <c r="DL45" s="282"/>
      <c r="DM45" s="282"/>
      <c r="DN45" s="282"/>
      <c r="DO45" s="283"/>
      <c r="DP45" s="284" t="s">
        <v>150</v>
      </c>
      <c r="DQ45" s="285"/>
      <c r="DR45" s="285"/>
      <c r="DS45" s="285"/>
      <c r="DT45" s="285"/>
      <c r="DU45" s="285"/>
      <c r="DV45" s="285"/>
      <c r="DW45" s="285"/>
      <c r="DX45" s="286"/>
    </row>
    <row r="46" spans="3:130" x14ac:dyDescent="0.3">
      <c r="C46" s="44" t="s">
        <v>130</v>
      </c>
      <c r="D46" s="12">
        <v>1.1749000000000001</v>
      </c>
      <c r="E46" s="1">
        <v>0.37830000000000003</v>
      </c>
      <c r="F46" s="1">
        <v>62</v>
      </c>
      <c r="G46" s="12">
        <v>3.11</v>
      </c>
      <c r="H46" s="1">
        <v>2.8999999999999998E-3</v>
      </c>
      <c r="I46" s="1">
        <v>0.1</v>
      </c>
      <c r="J46" s="12">
        <v>0.54320000000000002</v>
      </c>
      <c r="K46" s="1">
        <v>1.8065</v>
      </c>
      <c r="L46" s="1">
        <v>3.2378</v>
      </c>
      <c r="M46" s="1">
        <v>1.7216</v>
      </c>
      <c r="N46" s="1">
        <v>6.0892999999999997</v>
      </c>
      <c r="P46" s="5"/>
      <c r="Q46" s="27" t="str">
        <f>C46</f>
        <v>Mean Backs+Fwds reference</v>
      </c>
      <c r="R46" s="4">
        <f>L46/(1+L46)</f>
        <v>0.76402850535655298</v>
      </c>
      <c r="S46" s="4"/>
      <c r="T46" s="4"/>
      <c r="U46" s="26" t="str">
        <f>IF(ISBLANK(C45),"",C45)</f>
        <v>Backs/Fwds:</v>
      </c>
      <c r="V46" s="4"/>
      <c r="W46" s="5"/>
      <c r="X46" s="59" t="s">
        <v>195</v>
      </c>
      <c r="Y46" s="8"/>
      <c r="Z46" s="5"/>
      <c r="AA46" s="5"/>
      <c r="AC46" s="5"/>
      <c r="AD46" s="5"/>
      <c r="AE46" s="8" t="s">
        <v>191</v>
      </c>
      <c r="AF46" s="4"/>
      <c r="AG46" s="4"/>
      <c r="AH46" s="4"/>
      <c r="AI46" s="4" t="s">
        <v>75</v>
      </c>
      <c r="AJ46" s="5"/>
      <c r="AK46" s="55"/>
      <c r="AL46" s="55"/>
      <c r="AM46" s="59" t="s">
        <v>193</v>
      </c>
      <c r="AN46" s="55"/>
      <c r="AO46" s="55"/>
      <c r="AQ46" s="5"/>
      <c r="AR46" s="5"/>
      <c r="AS46" s="8" t="s">
        <v>184</v>
      </c>
      <c r="AT46" s="8"/>
      <c r="AU46" s="5"/>
      <c r="AV46" s="5"/>
      <c r="AY46" s="269" t="s">
        <v>175</v>
      </c>
      <c r="AZ46" s="271" t="s">
        <v>152</v>
      </c>
      <c r="BA46" s="273" t="s">
        <v>153</v>
      </c>
      <c r="BB46" s="274"/>
      <c r="BC46" s="275"/>
      <c r="BD46" s="306" t="s">
        <v>154</v>
      </c>
      <c r="BE46" s="307"/>
      <c r="BF46" s="106" t="s">
        <v>171</v>
      </c>
      <c r="BG46" s="107" t="s">
        <v>172</v>
      </c>
      <c r="BH46" s="273" t="str">
        <f>"Effect &amp; re-estimated "&amp;BE48&amp;"% confidence limits"</f>
        <v>Effect &amp; re-estimated 90% confidence limits</v>
      </c>
      <c r="BI46" s="274"/>
      <c r="BJ46" s="274"/>
      <c r="BK46" s="275"/>
      <c r="BL46" s="277" t="s">
        <v>155</v>
      </c>
      <c r="BM46" s="278"/>
      <c r="BN46" s="287" t="e">
        <f>"...beneficial or
substantially "&amp;BF47</f>
        <v>#VALUE!</v>
      </c>
      <c r="BO46" s="288"/>
      <c r="BP46" s="289"/>
      <c r="BQ46" s="311" t="s">
        <v>156</v>
      </c>
      <c r="BR46" s="293"/>
      <c r="BS46" s="294"/>
      <c r="BT46" s="297" t="e">
        <f>"...harmful or 
substantially "&amp;BG47</f>
        <v>#VALUE!</v>
      </c>
      <c r="BU46" s="298"/>
      <c r="BV46" s="299"/>
      <c r="BW46" s="303" t="s">
        <v>157</v>
      </c>
      <c r="BZ46" s="269" t="s">
        <v>151</v>
      </c>
      <c r="CA46" s="271" t="s">
        <v>152</v>
      </c>
      <c r="CB46" s="273" t="s">
        <v>153</v>
      </c>
      <c r="CC46" s="274"/>
      <c r="CD46" s="275"/>
      <c r="CE46" s="306" t="s">
        <v>154</v>
      </c>
      <c r="CF46" s="307"/>
      <c r="CG46" s="231" t="s">
        <v>171</v>
      </c>
      <c r="CH46" s="232" t="s">
        <v>172</v>
      </c>
      <c r="CI46" s="273" t="str">
        <f>"Effect &amp; re-estimated "&amp;CF48&amp;"% confidence limits"</f>
        <v>Effect &amp; re-estimated 90% confidence limits</v>
      </c>
      <c r="CJ46" s="274"/>
      <c r="CK46" s="274"/>
      <c r="CL46" s="275"/>
      <c r="CM46" s="277" t="s">
        <v>155</v>
      </c>
      <c r="CN46" s="278"/>
      <c r="CO46" s="287" t="e">
        <f>"...beneficial or
substantially "&amp;CG47</f>
        <v>#VALUE!</v>
      </c>
      <c r="CP46" s="288"/>
      <c r="CQ46" s="289"/>
      <c r="CR46" s="311" t="s">
        <v>156</v>
      </c>
      <c r="CS46" s="293"/>
      <c r="CT46" s="294"/>
      <c r="CU46" s="297" t="e">
        <f>"...harmful or 
substantially "&amp;CH47</f>
        <v>#VALUE!</v>
      </c>
      <c r="CV46" s="298"/>
      <c r="CW46" s="299"/>
      <c r="CX46" s="303" t="s">
        <v>157</v>
      </c>
      <c r="DA46" s="269" t="s">
        <v>151</v>
      </c>
      <c r="DB46" s="271" t="s">
        <v>152</v>
      </c>
      <c r="DC46" s="273" t="s">
        <v>153</v>
      </c>
      <c r="DD46" s="274"/>
      <c r="DE46" s="275"/>
      <c r="DF46" s="306" t="s">
        <v>154</v>
      </c>
      <c r="DG46" s="307"/>
      <c r="DH46" s="231" t="s">
        <v>171</v>
      </c>
      <c r="DI46" s="232" t="s">
        <v>172</v>
      </c>
      <c r="DJ46" s="273" t="str">
        <f>"Effect &amp; re-estimated "&amp;DG48&amp;"% confidence limits"</f>
        <v>Effect &amp; re-estimated 90% confidence limits</v>
      </c>
      <c r="DK46" s="274"/>
      <c r="DL46" s="274"/>
      <c r="DM46" s="275"/>
      <c r="DN46" s="277" t="s">
        <v>155</v>
      </c>
      <c r="DO46" s="278"/>
      <c r="DP46" s="287" t="e">
        <f>"...beneficial or
substantially "&amp;DH47</f>
        <v>#VALUE!</v>
      </c>
      <c r="DQ46" s="288"/>
      <c r="DR46" s="289"/>
      <c r="DS46" s="311" t="s">
        <v>156</v>
      </c>
      <c r="DT46" s="293"/>
      <c r="DU46" s="294"/>
      <c r="DV46" s="297" t="e">
        <f>"...harmful or 
substantially "&amp;DI47</f>
        <v>#VALUE!</v>
      </c>
      <c r="DW46" s="298"/>
      <c r="DX46" s="299"/>
      <c r="DY46" s="303" t="s">
        <v>157</v>
      </c>
    </row>
    <row r="47" spans="3:130" x14ac:dyDescent="0.3">
      <c r="C47" s="44" t="s">
        <v>131</v>
      </c>
      <c r="D47" s="12">
        <v>0</v>
      </c>
      <c r="E47" s="1" t="s">
        <v>64</v>
      </c>
      <c r="F47" s="1" t="s">
        <v>64</v>
      </c>
      <c r="G47" s="12" t="s">
        <v>64</v>
      </c>
      <c r="H47" s="1" t="s">
        <v>64</v>
      </c>
      <c r="I47" s="1" t="s">
        <v>64</v>
      </c>
      <c r="J47" s="12" t="s">
        <v>64</v>
      </c>
      <c r="K47" s="1" t="s">
        <v>64</v>
      </c>
      <c r="L47" s="1" t="s">
        <v>64</v>
      </c>
      <c r="M47" s="1" t="s">
        <v>64</v>
      </c>
      <c r="N47" s="1" t="s">
        <v>64</v>
      </c>
      <c r="P47" s="5"/>
      <c r="Q47" s="27" t="str">
        <f>C47</f>
        <v>blank</v>
      </c>
      <c r="R47" s="4" t="e">
        <f>L47/(1+L47)</f>
        <v>#VALUE!</v>
      </c>
      <c r="S47" s="4"/>
      <c r="T47" s="4"/>
      <c r="U47" s="14"/>
      <c r="V47" s="60" t="s">
        <v>2</v>
      </c>
      <c r="W47" s="60" t="s">
        <v>12</v>
      </c>
      <c r="X47" s="60" t="s">
        <v>13</v>
      </c>
      <c r="Y47" s="77" t="s">
        <v>141</v>
      </c>
      <c r="Z47" s="60" t="s">
        <v>61</v>
      </c>
      <c r="AA47" s="60" t="s">
        <v>60</v>
      </c>
      <c r="AC47" s="60" t="s">
        <v>2</v>
      </c>
      <c r="AD47" s="60" t="s">
        <v>12</v>
      </c>
      <c r="AE47" s="60" t="s">
        <v>13</v>
      </c>
      <c r="AF47" s="60" t="s">
        <v>61</v>
      </c>
      <c r="AG47" s="60" t="s">
        <v>60</v>
      </c>
      <c r="AH47" s="60"/>
      <c r="AI47" s="61" t="s">
        <v>83</v>
      </c>
      <c r="AJ47" s="5"/>
      <c r="AK47" s="60" t="s">
        <v>2</v>
      </c>
      <c r="AL47" s="60" t="s">
        <v>12</v>
      </c>
      <c r="AM47" s="60" t="s">
        <v>13</v>
      </c>
      <c r="AN47" s="62" t="s">
        <v>61</v>
      </c>
      <c r="AO47" s="62" t="s">
        <v>60</v>
      </c>
      <c r="AQ47" s="60" t="s">
        <v>2</v>
      </c>
      <c r="AR47" s="60" t="s">
        <v>12</v>
      </c>
      <c r="AS47" s="60" t="s">
        <v>13</v>
      </c>
      <c r="AT47" s="60" t="s">
        <v>139</v>
      </c>
      <c r="AU47" s="62" t="s">
        <v>61</v>
      </c>
      <c r="AV47" s="62" t="s">
        <v>60</v>
      </c>
      <c r="AY47" s="270"/>
      <c r="AZ47" s="305"/>
      <c r="BA47" s="87" t="s">
        <v>158</v>
      </c>
      <c r="BB47" s="88" t="s">
        <v>159</v>
      </c>
      <c r="BC47" s="93" t="s">
        <v>168</v>
      </c>
      <c r="BD47" s="89" t="s">
        <v>160</v>
      </c>
      <c r="BE47" s="90" t="s">
        <v>161</v>
      </c>
      <c r="BF47" s="91" t="e">
        <f>IF(BF48&lt;1,"decr.","incr.")</f>
        <v>#VALUE!</v>
      </c>
      <c r="BG47" s="92" t="e">
        <f>IF(BG48&gt;1,"incr.","decr.")</f>
        <v>#VALUE!</v>
      </c>
      <c r="BH47" s="83" t="s">
        <v>17</v>
      </c>
      <c r="BI47" s="90" t="s">
        <v>162</v>
      </c>
      <c r="BJ47" s="90" t="s">
        <v>163</v>
      </c>
      <c r="BK47" s="93" t="s">
        <v>168</v>
      </c>
      <c r="BL47" s="94" t="s">
        <v>164</v>
      </c>
      <c r="BM47" s="95" t="s">
        <v>165</v>
      </c>
      <c r="BN47" s="308"/>
      <c r="BO47" s="309"/>
      <c r="BP47" s="310"/>
      <c r="BQ47" s="312"/>
      <c r="BR47" s="313"/>
      <c r="BS47" s="314"/>
      <c r="BT47" s="315"/>
      <c r="BU47" s="316"/>
      <c r="BV47" s="317"/>
      <c r="BW47" s="304"/>
      <c r="BX47" s="97" t="s">
        <v>167</v>
      </c>
      <c r="BZ47" s="270"/>
      <c r="CA47" s="305"/>
      <c r="CB47" s="87" t="s">
        <v>158</v>
      </c>
      <c r="CC47" s="88" t="s">
        <v>159</v>
      </c>
      <c r="CD47" s="93" t="s">
        <v>138</v>
      </c>
      <c r="CE47" s="89" t="s">
        <v>160</v>
      </c>
      <c r="CF47" s="90" t="s">
        <v>161</v>
      </c>
      <c r="CG47" s="217" t="e">
        <f t="shared" ref="CG47" si="33">IF(CG48&lt;0,"decr.","incr.")</f>
        <v>#VALUE!</v>
      </c>
      <c r="CH47" s="218" t="e">
        <f t="shared" ref="CH47" si="34">IF(CH48&gt;0,"incr.","decr.")</f>
        <v>#VALUE!</v>
      </c>
      <c r="CI47" s="83" t="s">
        <v>17</v>
      </c>
      <c r="CJ47" s="90" t="s">
        <v>162</v>
      </c>
      <c r="CK47" s="90" t="s">
        <v>163</v>
      </c>
      <c r="CL47" s="93" t="s">
        <v>138</v>
      </c>
      <c r="CM47" s="94" t="s">
        <v>164</v>
      </c>
      <c r="CN47" s="95" t="s">
        <v>165</v>
      </c>
      <c r="CO47" s="308"/>
      <c r="CP47" s="309"/>
      <c r="CQ47" s="310"/>
      <c r="CR47" s="312"/>
      <c r="CS47" s="313"/>
      <c r="CT47" s="314"/>
      <c r="CU47" s="315"/>
      <c r="CV47" s="316"/>
      <c r="CW47" s="317"/>
      <c r="CX47" s="304"/>
      <c r="CY47" s="96" t="s">
        <v>167</v>
      </c>
      <c r="DA47" s="270"/>
      <c r="DB47" s="305"/>
      <c r="DC47" s="87" t="s">
        <v>158</v>
      </c>
      <c r="DD47" s="88" t="s">
        <v>159</v>
      </c>
      <c r="DE47" s="93" t="s">
        <v>138</v>
      </c>
      <c r="DF47" s="89" t="s">
        <v>160</v>
      </c>
      <c r="DG47" s="90" t="s">
        <v>161</v>
      </c>
      <c r="DH47" s="217" t="e">
        <f t="shared" ref="DH47" si="35">IF(DH48&lt;0,"decr.","incr.")</f>
        <v>#VALUE!</v>
      </c>
      <c r="DI47" s="218" t="e">
        <f t="shared" ref="DI47" si="36">IF(DI48&gt;0,"incr.","decr.")</f>
        <v>#VALUE!</v>
      </c>
      <c r="DJ47" s="83" t="s">
        <v>17</v>
      </c>
      <c r="DK47" s="90" t="s">
        <v>162</v>
      </c>
      <c r="DL47" s="90" t="s">
        <v>163</v>
      </c>
      <c r="DM47" s="93" t="s">
        <v>138</v>
      </c>
      <c r="DN47" s="94" t="s">
        <v>164</v>
      </c>
      <c r="DO47" s="95" t="s">
        <v>165</v>
      </c>
      <c r="DP47" s="308"/>
      <c r="DQ47" s="309"/>
      <c r="DR47" s="310"/>
      <c r="DS47" s="312"/>
      <c r="DT47" s="313"/>
      <c r="DU47" s="314"/>
      <c r="DV47" s="315"/>
      <c r="DW47" s="316"/>
      <c r="DX47" s="317"/>
      <c r="DY47" s="304"/>
      <c r="DZ47" s="96" t="s">
        <v>167</v>
      </c>
    </row>
    <row r="48" spans="3:130" x14ac:dyDescent="0.3">
      <c r="C48" s="44" t="s">
        <v>81</v>
      </c>
      <c r="D48" s="12">
        <v>0.61260000000000003</v>
      </c>
      <c r="E48" s="1">
        <v>0.57889999999999997</v>
      </c>
      <c r="F48" s="1">
        <v>62</v>
      </c>
      <c r="G48" s="12">
        <v>1.06</v>
      </c>
      <c r="H48" s="1">
        <v>0.29409999999999997</v>
      </c>
      <c r="I48" s="1">
        <v>0.1</v>
      </c>
      <c r="J48" s="12">
        <v>-0.35399999999999998</v>
      </c>
      <c r="K48" s="1">
        <v>1.5790999999999999</v>
      </c>
      <c r="L48" s="1">
        <v>1.8452</v>
      </c>
      <c r="M48" s="1">
        <v>0.70189999999999997</v>
      </c>
      <c r="N48" s="1">
        <v>4.8507999999999996</v>
      </c>
      <c r="P48" s="5"/>
      <c r="R48" s="5"/>
      <c r="S48" s="5"/>
      <c r="T48" s="5"/>
      <c r="U48" s="26" t="str">
        <f>C48</f>
        <v>MTPf +1SD/-1SD</v>
      </c>
      <c r="V48" s="48">
        <f>L46*L48/(1+L46*L48)/R46</f>
        <v>1.1211862506266785</v>
      </c>
      <c r="W48" s="48">
        <f>EXP(LN(V48)-_xlfn.T.INV.2T(I48,F48)*ABS(LN(V48))/ABS(G48))</f>
        <v>0.93631295261416703</v>
      </c>
      <c r="X48" s="48">
        <f>EXP(LN(V48)+_xlfn.T.INV.2T(I48,F48)*ABS(LN(V48))/ABS(G48))</f>
        <v>1.342562446759523</v>
      </c>
      <c r="Y48" s="48">
        <f>SQRT(X48/W48)</f>
        <v>1.1974481902619729</v>
      </c>
      <c r="Z48" s="4">
        <f>$V$26</f>
        <v>0.9</v>
      </c>
      <c r="AA48" s="4">
        <f>$V$27</f>
        <v>1.1111111111111112</v>
      </c>
      <c r="AC48" s="4">
        <f>D48</f>
        <v>0.61260000000000003</v>
      </c>
      <c r="AD48" s="4">
        <f>J48</f>
        <v>-0.35399999999999998</v>
      </c>
      <c r="AE48" s="4">
        <f>K48</f>
        <v>1.5790999999999999</v>
      </c>
      <c r="AF48" s="4">
        <f>LN(Z48*R46/(1-Z48*R46)/L46)</f>
        <v>-0.38585179622402438</v>
      </c>
      <c r="AG48" s="4">
        <f>LN(AA48*R46/(1-AA48*R46)/L46)</f>
        <v>0.55126574676401374</v>
      </c>
      <c r="AH48" s="4"/>
      <c r="AI48" s="4">
        <f>SQRT($D$11+$D$13*(1/($H$4*$R46)+1/($H$4*(1-$R46))))</f>
        <v>1.0308140914837327</v>
      </c>
      <c r="AJ48" s="5"/>
      <c r="AK48" s="4">
        <f>AC48/AI48</f>
        <v>0.59428756849669773</v>
      </c>
      <c r="AL48" s="4">
        <f>AD48/AI48</f>
        <v>-0.34341788972874793</v>
      </c>
      <c r="AM48" s="4">
        <f>AE48/AI48</f>
        <v>1.53189601601883</v>
      </c>
      <c r="AN48" s="143">
        <f>$AK$26</f>
        <v>-0.2</v>
      </c>
      <c r="AO48" s="143">
        <f>$AK$27</f>
        <v>0.2</v>
      </c>
      <c r="AQ48" s="50">
        <f>10*(2*SQRT(L48)/(1+SQRT(L48))-1)</f>
        <v>1.5196074362765177</v>
      </c>
      <c r="AR48" s="50">
        <f>10*(2*SQRT(M48)/(1+SQRT(M48))-1)</f>
        <v>-0.88260823473602201</v>
      </c>
      <c r="AS48" s="50">
        <f>10*(2*SQRT(N48)/(1+SQRT(N48))-1)</f>
        <v>3.7547876923813606</v>
      </c>
      <c r="AT48" s="50">
        <f>(AS48-AR48)/2</f>
        <v>2.3186979635586913</v>
      </c>
      <c r="AU48" s="10">
        <f>$AQ$26</f>
        <v>-1</v>
      </c>
      <c r="AV48" s="10">
        <f>$AQ$27</f>
        <v>1</v>
      </c>
      <c r="AW48" s="6" t="str">
        <f>U48</f>
        <v>MTPf +1SD/-1SD</v>
      </c>
      <c r="AY48" s="108">
        <f>V48</f>
        <v>1.1211862506266785</v>
      </c>
      <c r="AZ48" s="109">
        <f>F48</f>
        <v>62</v>
      </c>
      <c r="BA48" s="108">
        <f>W48</f>
        <v>0.93631295261416703</v>
      </c>
      <c r="BB48" s="108">
        <f>X48</f>
        <v>1.342562446759523</v>
      </c>
      <c r="BC48" s="108">
        <f>SQRT(BB48/BA48)</f>
        <v>1.1974481902619729</v>
      </c>
      <c r="BD48" s="110">
        <f>100*(1-I48)</f>
        <v>90</v>
      </c>
      <c r="BE48" s="102">
        <f>100-2*$BC$7</f>
        <v>90</v>
      </c>
      <c r="BF48" s="108" t="e">
        <f>$P$5*Z48+$Q$5*AA48</f>
        <v>#VALUE!</v>
      </c>
      <c r="BG48" s="108" t="e">
        <f>$Q$5*Z48+$P$5*AA48</f>
        <v>#VALUE!</v>
      </c>
      <c r="BH48" s="103">
        <f>AY48</f>
        <v>1.1211862506266785</v>
      </c>
      <c r="BI48" s="103">
        <f>EXP(LN(AY48)-TINV((100-BE48)/100,AZ48)*BX48)</f>
        <v>0.93631295261416692</v>
      </c>
      <c r="BJ48" s="103">
        <f>EXP(LN(AY48)+TINV((100-BE48)/100,AZ48)*BX48)</f>
        <v>1.342562446759523</v>
      </c>
      <c r="BK48" s="103">
        <f>SQRT(BJ48/BI48)</f>
        <v>1.1974481902619729</v>
      </c>
      <c r="BL48" s="118" t="e">
        <f>IF(BN48&lt;$BE$7,IF(MAX(BQ48,BT48)=BQ48,BS48&amp;" trivial; don't use",BV48&amp;" harmful; don't use"),IF(BT48&lt;$BA$7,BP48&amp;" beneficial; use","unclear; don't use"))</f>
        <v>#VALUE!</v>
      </c>
      <c r="BM48" s="118" t="e">
        <f>IF(MIN(BN48,BT48)&gt;$BC$7,"unclear",IF(MAX(BN48,BQ48,BT48)=BN48,BP48&amp;" "&amp;BF47,IF(MAX(BN48,BQ48,BT48)=BQ48,BS48&amp;" trivial",BV48&amp;" "&amp;BG47)))</f>
        <v>#VALUE!</v>
      </c>
      <c r="BN48" s="98" t="e">
        <f>100*IF(LN(BF48)&gt;0,IF(LN(AY48)-LN(BF48)&gt;0,1-TDIST((LN(AY48)-LN(BF48))/BX48,AZ48,1),TDIST((LN(BF48)-LN(AY48))/BX48,AZ48,1)),IF(LN(AY48)-LN(BF48)&gt;0,TDIST((LN(AY48)-LN(BF48))/BX48,AZ48,1),1-TDIST((LN(BF48)-LN(AY48))/BX48,AZ48,1)))</f>
        <v>#VALUE!</v>
      </c>
      <c r="BO48" s="99" t="s">
        <v>166</v>
      </c>
      <c r="BP48" s="100" t="e">
        <f>IF(BN48&lt;$BA$7,$AZ$7,IF(BN48&lt;$BC$7,$BB$7,IF(BN48&lt;$BE$7,$BD$7,IF(BN48&lt;$BG$7,$BF$7,IF(BN48&lt;$BI$7,$BH$7,IF(BN48&lt;$BK$7,$BJ$7,$BL$7))))))</f>
        <v>#VALUE!</v>
      </c>
      <c r="BQ48" s="101" t="e">
        <f>100-BN48-BT48</f>
        <v>#VALUE!</v>
      </c>
      <c r="BR48" s="99" t="s">
        <v>166</v>
      </c>
      <c r="BS48" s="100" t="e">
        <f>IF(BQ48&lt;$BA$7,$AZ$7,IF(BQ48&lt;$BC$7,$BB$7,IF(BQ48&lt;$BE$7,$BD$7,IF(BQ48&lt;$BG$7,$BF$7,IF(BQ48&lt;$BI$7,$BH$7,IF(BQ48&lt;$BK$7,$BJ$7,$BL$7))))))</f>
        <v>#VALUE!</v>
      </c>
      <c r="BT48" s="98" t="e">
        <f>100*IF(LN(BG48)&gt;0,IF(LN(AY48)-LN(BG48)&gt;0,1-TDIST((LN(AY48)-LN(BG48))/BX48,AZ48,1),TDIST((LN(BG48)-LN(AY48))/BX48,AZ48,1)),IF(LN(AY48)-LN(BG48)&gt;0,TDIST((LN(AY48)-LN(BG48))/BX48,AZ48,1),1-TDIST((LN(BG48)-LN(AY48))/BX48,AZ48,1)))</f>
        <v>#VALUE!</v>
      </c>
      <c r="BU48" s="99" t="s">
        <v>166</v>
      </c>
      <c r="BV48" s="100" t="e">
        <f>IF(BT48&lt;$BA$7,$AZ$7,IF(BT48&lt;$BC$7,$BB$7,IF(BT48&lt;$BE$7,$BD$7,IF(BT48&lt;$BG$7,$BF$7,IF(BT48&lt;$BI$7,$BH$7,IF(BT48&lt;$BK$7,$BJ$7,$BL$7))))))</f>
        <v>#VALUE!</v>
      </c>
      <c r="BW48" s="115" t="e">
        <f>BN48/(100-BN48)/(BT48/(100-BT48))</f>
        <v>#VALUE!</v>
      </c>
      <c r="BX48" s="105">
        <f>(LN(BB48)-LN(BA48))/2/TINV(1-BD48/100,AZ48)</f>
        <v>0.10791252560957168</v>
      </c>
      <c r="BY48" s="24" t="str">
        <f>U48</f>
        <v>MTPf +1SD/-1SD</v>
      </c>
      <c r="BZ48" s="111">
        <f>AK48</f>
        <v>0.59428756849669773</v>
      </c>
      <c r="CA48" s="109">
        <f>F48</f>
        <v>62</v>
      </c>
      <c r="CB48" s="111">
        <f>AL48</f>
        <v>-0.34341788972874793</v>
      </c>
      <c r="CC48" s="111">
        <f>AM48</f>
        <v>1.53189601601883</v>
      </c>
      <c r="CD48" s="111">
        <f>(CC48-CB48)/2</f>
        <v>0.93765695287378892</v>
      </c>
      <c r="CE48" s="109">
        <f>100*(1-I48)</f>
        <v>90</v>
      </c>
      <c r="CF48" s="102">
        <f>100-2*$BC$7</f>
        <v>90</v>
      </c>
      <c r="CG48" s="233" t="e">
        <f t="shared" ref="CG48" si="37">$P$5*AN48+$Q$5*AO48</f>
        <v>#VALUE!</v>
      </c>
      <c r="CH48" s="233" t="e">
        <f t="shared" ref="CH48" si="38">$Q$5*AN48+$P$5*AO48</f>
        <v>#VALUE!</v>
      </c>
      <c r="CI48" s="117">
        <f>BZ48</f>
        <v>0.59428756849669773</v>
      </c>
      <c r="CJ48" s="117">
        <f>BZ48-TINV((100-CF48)/100,CA48)*CY48</f>
        <v>-0.34336938437709119</v>
      </c>
      <c r="CK48" s="117">
        <f>BZ48+TINV((100-CF48)/100,CA48)*CY48</f>
        <v>1.5319445213704865</v>
      </c>
      <c r="CL48" s="117">
        <f>(CK48-CJ48)/2</f>
        <v>0.93765695287378881</v>
      </c>
      <c r="CM48" s="118" t="e">
        <f>IF(CO48&lt;$BE$7,IF(MAX(CR48,CU48)=CR48,CT48&amp;" trivial; don't use",CW48&amp;" harmful; don't use"),IF(CU48&lt;$BA$7,CQ48&amp;" beneficial; use","unclear; don't use"))</f>
        <v>#VALUE!</v>
      </c>
      <c r="CN48" s="118" t="e">
        <f>IF(MIN(CO48,CU48)&gt;$BC$7,"unclear",IF(MAX(CO48,CR48,CU48)=CO48,CQ48&amp;" "&amp;CG47,IF(MAX(CO48,CR48,CU48)=CR48,CT48&amp;" trivial",CW48&amp;" "&amp;CH47)))</f>
        <v>#VALUE!</v>
      </c>
      <c r="CO48" s="112" t="e">
        <f>100*IF(CG48&gt;0,IF(BZ48-CG48&gt;0,1-TDIST((BZ48-CG48)/CY48,CA48,1),TDIST((CG48-BZ48)/CY48,CA48,1)),IF(BZ48-CG48&gt;0,TDIST((BZ48-CG48)/CY48,CA48,1),1-TDIST((CG48-BZ48)/CY48,CA48,1)))</f>
        <v>#VALUE!</v>
      </c>
      <c r="CP48" s="113" t="s">
        <v>166</v>
      </c>
      <c r="CQ48" s="100" t="e">
        <f>IF(CO48&lt;$BA$7,$AZ$7,IF(CO48&lt;$BC$7,$BB$7,IF(CO48&lt;$BE$7,$BD$7,IF(CO48&lt;$BG$7,$BF$7,IF(CO48&lt;$BI$7,$BH$7,IF(CO48&lt;$BK$7,$BJ$7,$BL$7))))))</f>
        <v>#VALUE!</v>
      </c>
      <c r="CR48" s="114" t="e">
        <f>100-CO48-CU48</f>
        <v>#VALUE!</v>
      </c>
      <c r="CS48" s="113" t="s">
        <v>166</v>
      </c>
      <c r="CT48" s="100" t="e">
        <f>IF(CR48&lt;$BA$7,$AZ$7,IF(CR48&lt;$BC$7,$BB$7,IF(CR48&lt;$BE$7,$BD$7,IF(CR48&lt;$BG$7,$BF$7,IF(CR48&lt;$BI$7,$BH$7,IF(CR48&lt;$BK$7,$BJ$7,$BL$7))))))</f>
        <v>#VALUE!</v>
      </c>
      <c r="CU48" s="112" t="e">
        <f>100*IF(CH48&gt;0,IF(BZ48-CH48&gt;0,1-TDIST((BZ48-CH48)/CY48,CA48,1),TDIST((CH48-BZ48)/CY48,CA48,1)),IF(BZ48-CH48&gt;0,TDIST((BZ48-CH48)/CY48,CA48,1),1-TDIST((CH48-BZ48)/CY48,CA48,1)))</f>
        <v>#VALUE!</v>
      </c>
      <c r="CV48" s="113" t="s">
        <v>166</v>
      </c>
      <c r="CW48" s="100" t="e">
        <f>IF(CU48&lt;$BA$7,$AZ$7,IF(CU48&lt;$BC$7,$BB$7,IF(CU48&lt;$BE$7,$BD$7,IF(CU48&lt;$BG$7,$BF$7,IF(CU48&lt;$BI$7,$BH$7,IF(CU48&lt;$BK$7,$BJ$7,$BL$7))))))</f>
        <v>#VALUE!</v>
      </c>
      <c r="CX48" s="115" t="e">
        <f>CO48/(100-CO48)/(CU48/(100-CU48))</f>
        <v>#VALUE!</v>
      </c>
      <c r="CY48" s="105">
        <f>(CC48-CB48)/2/TINV(1-CE48/100,CA48)</f>
        <v>0.56153707957177534</v>
      </c>
      <c r="CZ48" s="24" t="str">
        <f>U48</f>
        <v>MTPf +1SD/-1SD</v>
      </c>
      <c r="DA48" s="116">
        <f>AQ48</f>
        <v>1.5196074362765177</v>
      </c>
      <c r="DB48" s="109">
        <f>F48</f>
        <v>62</v>
      </c>
      <c r="DC48" s="116">
        <f>AR48</f>
        <v>-0.88260823473602201</v>
      </c>
      <c r="DD48" s="116">
        <f>AS48</f>
        <v>3.7547876923813606</v>
      </c>
      <c r="DE48" s="116">
        <f>(DD48-DC48)/2</f>
        <v>2.3186979635586913</v>
      </c>
      <c r="DF48" s="109">
        <f>100*(1-I48)</f>
        <v>90</v>
      </c>
      <c r="DG48" s="102">
        <f>100-2*$BC$7</f>
        <v>90</v>
      </c>
      <c r="DH48" s="241" t="e">
        <f t="shared" ref="DH48" si="39">$P$5*AU48+$Q$5*AV48</f>
        <v>#VALUE!</v>
      </c>
      <c r="DI48" s="241" t="e">
        <f t="shared" ref="DI48" si="40">$Q$5*AU48+$P$5*AV48</f>
        <v>#VALUE!</v>
      </c>
      <c r="DJ48" s="104">
        <f>DA48</f>
        <v>1.5196074362765177</v>
      </c>
      <c r="DK48" s="104">
        <f>10*(2*SQRT(EXP(LN(((1+DA48/10)/(1-DA48/10))^2)-TINV((100-DG48)/100,DB48)*DZ48))/(1+SQRT(EXP(LN(((1+DA48/10)/(1-DA48/10))^2)-TINV((100-DG48)/100,DB48)*DZ48)))-1)</f>
        <v>-0.88261314512330435</v>
      </c>
      <c r="DL48" s="104">
        <f>10*(2*SQRT(EXP(LN(((1+DA48/10)/(1-DA48/10))^2)+TINV((100-DG48)/100,DB48)*DZ48))/(1+SQRT(EXP(LN(((1+DA48/10)/(1-DA48/10))^2)+TINV((100-DG48)/100,DB48)*DZ48)))-1)</f>
        <v>3.7547834411637848</v>
      </c>
      <c r="DM48" s="104">
        <f>(DL48-DK48)/2</f>
        <v>2.3186982931435445</v>
      </c>
      <c r="DN48" s="118" t="e">
        <f>IF(DP48&lt;$BE$7,IF(MAX(DS48,DV48)=DS48,DU48&amp;" trivial; don't use",DX48&amp;" harmful; don't use"),IF(DV48&lt;$BA$7,DR48&amp;" beneficial; use","unclear; don't use"))</f>
        <v>#VALUE!</v>
      </c>
      <c r="DO48" s="118" t="e">
        <f>IF(MIN(DP48,DV48)&gt;$BC$7,"unclear",IF(MAX(DP48,DS48,DV48)=DP48,DR48&amp;" "&amp;DH47,IF(MAX(DP48,DS48,DV48)=DS48,DU48&amp;" trivial",DX48&amp;" "&amp;DI47)))</f>
        <v>#VALUE!</v>
      </c>
      <c r="DP48" s="112" t="e">
        <f>100*IF(LN(((1+DH48/10)/(1-DH48/10))^2)&gt;0,IF(LN(((1+DA48/10)/(1-DA48/10))^2)-LN(((1+DH48/10)/(1-DH48/10))^2)&gt;0,1-TDIST((LN(((1+DA48/10)/(1-DA48/10))^2)-LN(((1+DH48/10)/(1-DH48/10))^2))/DZ48,DB48,1),TDIST((LN(((1+DH48/10)/(1-DH48/10))^2)-LN(((1+DA48/10)/(1-DA48/10))^2))/DZ48,DB48,1)),IF(LN(((1+DA48/10)/(1-DA48/10))^2)-LN(((1+DH48/10)/(1-DH48/10))^2)&gt;0,TDIST((LN(((1+DA48/10)/(1-DA48/10))^2)-LN(((1+DH48/10)/(1-DH48/10))^2))/DZ48,DB48,1),1-TDIST((LN(((1+DH48/10)/(1-DH48/10))^2)-LN(((1+DA48/10)/(1-DA48/10))^2))/DZ48,DB48,1)))</f>
        <v>#VALUE!</v>
      </c>
      <c r="DQ48" s="113" t="s">
        <v>166</v>
      </c>
      <c r="DR48" s="100" t="e">
        <f>IF(DP48&lt;$BA$7,$AZ$7,IF(DP48&lt;$BC$7,$BB$7,IF(DP48&lt;$BE$7,$BD$7,IF(DP48&lt;$BG$7,$BF$7,IF(DP48&lt;$BI$7,$BH$7,IF(DP48&lt;$BK$7,$BJ$7,$BL$7))))))</f>
        <v>#VALUE!</v>
      </c>
      <c r="DS48" s="114" t="e">
        <f>100-DP48-DV48</f>
        <v>#VALUE!</v>
      </c>
      <c r="DT48" s="113" t="s">
        <v>166</v>
      </c>
      <c r="DU48" s="100" t="e">
        <f>IF(DS48&lt;$BA$7,$AZ$7,IF(DS48&lt;$BC$7,$BB$7,IF(DS48&lt;$BE$7,$BD$7,IF(DS48&lt;$BG$7,$BF$7,IF(DS48&lt;$BI$7,$BH$7,IF(DS48&lt;$BK$7,$BJ$7,$BL$7))))))</f>
        <v>#VALUE!</v>
      </c>
      <c r="DV48" s="112" t="e">
        <f>100*IF(LN(((1+DI48/10)/(1-DI48/10))^2)&gt;0,IF(LN(((1+DA48/10)/(1-DA48/10))^2)-LN(((1+DI48/10)/(1-DI48/10))^2)&gt;0,1-TDIST((LN(((1+DA48/10)/(1-DA48/10))^2)-LN(((1+DI48/10)/(1-DI48/10))^2))/DZ48,DB48,1),TDIST((LN(((1+DI48/10)/(1-DI48/10))^2)-LN(((1+DA48/10)/(1-DA48/10))^2))/DZ48,DB48,1)),IF(LN(((1+DA48/10)/(1-DA48/10))^2)-LN(((1+DI48/10)/(1-DI48/10))^2)&gt;0,TDIST((LN(((1+DA48/10)/(1-DA48/10))^2)-LN(((1+DI48/10)/(1-DI48/10))^2))/DZ48,DB48,1),1-TDIST((LN(((1+DI48/10)/(1-DI48/10))^2)-LN(((1+DA48/10)/(1-DA48/10))^2))/DZ48,DB48,1)))</f>
        <v>#VALUE!</v>
      </c>
      <c r="DW48" s="113" t="s">
        <v>166</v>
      </c>
      <c r="DX48" s="100" t="e">
        <f>IF(DV48&lt;$BA$7,$AZ$7,IF(DV48&lt;$BC$7,$BB$7,IF(DV48&lt;$BE$7,$BD$7,IF(DV48&lt;$BG$7,$BF$7,IF(DV48&lt;$BI$7,$BH$7,IF(DV48&lt;$BK$7,$BJ$7,$BL$7))))))</f>
        <v>#VALUE!</v>
      </c>
      <c r="DY48" s="115" t="e">
        <f>DP48/(100-DP48)/(DV48/(100-DV48))</f>
        <v>#VALUE!</v>
      </c>
      <c r="DZ48" s="105">
        <f>(LN(((1+DD48/10)/(1-DD48/10))^2)-LN(((1+DC48/10)/(1-DC48/10))^2))/2/TINV(1-DF48/100,DB48)</f>
        <v>0.5788427225316477</v>
      </c>
    </row>
    <row r="49" spans="3:130" x14ac:dyDescent="0.3">
      <c r="C49" s="45" t="s">
        <v>252</v>
      </c>
      <c r="D49" s="12"/>
      <c r="E49" s="1"/>
      <c r="F49" s="1"/>
      <c r="G49" s="12"/>
      <c r="H49" s="1"/>
      <c r="I49" s="1"/>
      <c r="J49" s="12"/>
      <c r="K49" s="1"/>
      <c r="L49" s="1"/>
      <c r="M49" s="1"/>
      <c r="N49" s="1"/>
      <c r="P49" s="5"/>
      <c r="R49" s="5"/>
      <c r="S49" s="5"/>
      <c r="T49" s="5"/>
      <c r="U49" s="26"/>
      <c r="V49" s="48"/>
      <c r="W49" s="48"/>
      <c r="X49" s="48"/>
      <c r="Y49" s="48"/>
      <c r="Z49" s="4"/>
      <c r="AA49" s="4"/>
      <c r="AC49" s="4"/>
      <c r="AD49" s="4"/>
      <c r="AE49" s="4"/>
      <c r="AF49" s="4"/>
      <c r="AG49" s="4"/>
      <c r="AH49" s="4"/>
      <c r="AI49" s="4"/>
      <c r="AJ49" s="5"/>
      <c r="AK49" s="4"/>
      <c r="AL49" s="4"/>
      <c r="AM49" s="4"/>
      <c r="AN49" s="4"/>
      <c r="AO49" s="4"/>
      <c r="AQ49" s="50"/>
      <c r="AR49" s="50"/>
      <c r="AS49" s="50"/>
      <c r="AT49" s="50"/>
      <c r="AU49" s="10"/>
      <c r="AV49" s="10"/>
      <c r="AW49" s="6"/>
      <c r="AY49" s="133"/>
      <c r="AZ49" s="134"/>
      <c r="BA49" s="133"/>
      <c r="BB49" s="133"/>
      <c r="BC49" s="133"/>
      <c r="BD49" s="135"/>
      <c r="BE49" s="136"/>
      <c r="BF49" s="133"/>
      <c r="BG49" s="133"/>
      <c r="BH49" s="133"/>
      <c r="BI49" s="133"/>
      <c r="BJ49" s="133"/>
      <c r="BK49" s="133"/>
      <c r="BL49" s="133"/>
      <c r="BM49" s="133"/>
      <c r="BN49" s="133"/>
      <c r="BO49" s="133"/>
      <c r="BP49" s="133"/>
      <c r="BQ49" s="133"/>
      <c r="BR49" s="133"/>
      <c r="BS49" s="133"/>
      <c r="BT49" s="133"/>
      <c r="BU49" s="133"/>
      <c r="BV49" s="133"/>
      <c r="BW49" s="133"/>
      <c r="BX49" s="133"/>
      <c r="BY49" s="133"/>
      <c r="BZ49" s="133"/>
      <c r="CA49" s="133"/>
      <c r="CB49" s="133"/>
      <c r="CC49" s="133"/>
      <c r="CD49" s="133"/>
      <c r="CE49" s="133"/>
      <c r="CF49" s="133"/>
      <c r="CG49" s="133"/>
      <c r="CH49" s="133"/>
      <c r="CI49" s="133"/>
      <c r="CJ49" s="133"/>
      <c r="CK49" s="133"/>
      <c r="CL49" s="133"/>
      <c r="CM49" s="133"/>
      <c r="CN49" s="133"/>
      <c r="CO49" s="133"/>
      <c r="CP49" s="133"/>
      <c r="CQ49" s="133"/>
      <c r="CR49" s="133"/>
      <c r="CS49" s="133"/>
      <c r="CT49" s="133"/>
      <c r="CU49" s="133"/>
      <c r="CV49" s="133"/>
      <c r="CW49" s="133"/>
      <c r="CX49" s="133"/>
      <c r="CY49" s="133"/>
      <c r="CZ49" s="133"/>
      <c r="DA49" s="133"/>
      <c r="DB49" s="133"/>
      <c r="DC49" s="133"/>
      <c r="DD49" s="133"/>
      <c r="DE49" s="133"/>
      <c r="DF49" s="133"/>
      <c r="DG49" s="133"/>
      <c r="DH49" s="133"/>
      <c r="DI49" s="133"/>
      <c r="DJ49" s="133"/>
      <c r="DK49" s="133"/>
      <c r="DL49" s="133"/>
      <c r="DM49" s="133"/>
      <c r="DN49" s="133"/>
      <c r="DO49" s="133"/>
      <c r="DP49" s="133"/>
      <c r="DQ49" s="133"/>
      <c r="DR49" s="133"/>
      <c r="DS49" s="133"/>
      <c r="DT49" s="133"/>
      <c r="DU49" s="133"/>
      <c r="DV49" s="133"/>
      <c r="DW49" s="133"/>
      <c r="DX49" s="133"/>
      <c r="DY49" s="133"/>
      <c r="DZ49" s="133"/>
    </row>
    <row r="50" spans="3:130" x14ac:dyDescent="0.3">
      <c r="C50" s="177" t="s">
        <v>257</v>
      </c>
      <c r="W50" s="4"/>
    </row>
    <row r="51" spans="3:130" x14ac:dyDescent="0.3">
      <c r="F51" s="13" t="s">
        <v>89</v>
      </c>
      <c r="W51" s="4"/>
    </row>
    <row r="52" spans="3:130" x14ac:dyDescent="0.3">
      <c r="F52" s="13" t="s">
        <v>202</v>
      </c>
      <c r="J52" s="75"/>
      <c r="K52" s="1"/>
      <c r="L52" s="1"/>
      <c r="M52" s="1"/>
    </row>
    <row r="53" spans="3:130" x14ac:dyDescent="0.3">
      <c r="F53" s="5" t="s">
        <v>203</v>
      </c>
      <c r="J53" s="75"/>
      <c r="K53" s="1"/>
      <c r="L53" s="1"/>
      <c r="M53" s="1"/>
    </row>
    <row r="54" spans="3:130" x14ac:dyDescent="0.3">
      <c r="F54" s="13"/>
      <c r="J54" s="75"/>
      <c r="K54" s="27" t="s">
        <v>77</v>
      </c>
      <c r="L54" s="4">
        <f>D11</f>
        <v>0.13700000000000001</v>
      </c>
      <c r="M54" s="6" t="s">
        <v>78</v>
      </c>
    </row>
    <row r="55" spans="3:130" x14ac:dyDescent="0.3">
      <c r="K55" s="27" t="s">
        <v>76</v>
      </c>
      <c r="L55" s="4">
        <f>D13</f>
        <v>1.1680999999999999</v>
      </c>
      <c r="M55" s="6" t="s">
        <v>79</v>
      </c>
    </row>
    <row r="56" spans="3:130" x14ac:dyDescent="0.3">
      <c r="K56" s="26" t="s">
        <v>90</v>
      </c>
      <c r="L56" s="132">
        <f>R28</f>
        <v>0.74621865800426357</v>
      </c>
      <c r="M56" s="5" t="s">
        <v>246</v>
      </c>
    </row>
    <row r="57" spans="3:130" x14ac:dyDescent="0.3">
      <c r="K57" s="26" t="s">
        <v>104</v>
      </c>
      <c r="L57" s="50">
        <f>100*L56</f>
        <v>74.621865800426363</v>
      </c>
    </row>
    <row r="58" spans="3:130" x14ac:dyDescent="0.3">
      <c r="I58" s="13"/>
      <c r="J58" s="75"/>
      <c r="K58" s="27" t="s">
        <v>73</v>
      </c>
      <c r="L58" s="4">
        <f>L55*(1/(H4*R17)+1/(H4*(1-R17)))</f>
        <v>0.80980099347508017</v>
      </c>
      <c r="M58" s="131" t="s">
        <v>243</v>
      </c>
    </row>
    <row r="59" spans="3:130" ht="15.65" customHeight="1" x14ac:dyDescent="0.3">
      <c r="I59" s="22"/>
      <c r="K59" s="27" t="s">
        <v>66</v>
      </c>
      <c r="L59" s="4">
        <f>SQRT(L54+L58)</f>
        <v>0.97303699491595907</v>
      </c>
      <c r="M59" s="131" t="s">
        <v>241</v>
      </c>
    </row>
    <row r="60" spans="3:130" ht="14.4" customHeight="1" x14ac:dyDescent="0.3">
      <c r="I60" s="22"/>
      <c r="K60" s="27" t="s">
        <v>67</v>
      </c>
      <c r="L60" s="10">
        <f>EXP(L59)</f>
        <v>2.6459680609173395</v>
      </c>
      <c r="M60" s="5"/>
    </row>
    <row r="61" spans="3:130" x14ac:dyDescent="0.3">
      <c r="I61" s="22"/>
      <c r="K61" s="27" t="s">
        <v>68</v>
      </c>
      <c r="L61" s="4">
        <f>L28*SQRT(L60)/(1+L28*SQRT(L60))/(L28/SQRT(L60)/(1+L28/SQRT(L60)))</f>
        <v>1.2846227372430983</v>
      </c>
      <c r="M61" s="5"/>
    </row>
    <row r="62" spans="3:130" x14ac:dyDescent="0.3">
      <c r="K62" s="27" t="s">
        <v>69</v>
      </c>
      <c r="L62" s="11">
        <f>100*L61-100</f>
        <v>28.462273724309824</v>
      </c>
      <c r="M62" s="5"/>
    </row>
    <row r="63" spans="3:130" x14ac:dyDescent="0.3">
      <c r="K63" s="26" t="s">
        <v>70</v>
      </c>
      <c r="L63" s="132">
        <f>(L28*SQRT(L60)/(1+L28*SQRT(L60))-(L28/SQRT(L60)/(1+L28/SQRT(L60))))/2</f>
        <v>9.1624346666680234E-2</v>
      </c>
      <c r="M63" s="5" t="s">
        <v>91</v>
      </c>
    </row>
    <row r="64" spans="3:130" x14ac:dyDescent="0.3">
      <c r="K64" s="26" t="s">
        <v>71</v>
      </c>
      <c r="L64" s="50">
        <f>L63*100</f>
        <v>9.1624346666680232</v>
      </c>
      <c r="M64" s="5" t="s">
        <v>92</v>
      </c>
    </row>
    <row r="65" spans="2:18" ht="14.4" customHeight="1" x14ac:dyDescent="0.3"/>
    <row r="66" spans="2:18" x14ac:dyDescent="0.3">
      <c r="B66" s="13" t="s">
        <v>93</v>
      </c>
      <c r="C66" s="3"/>
      <c r="D66" s="4"/>
      <c r="H66" s="4"/>
      <c r="I66" s="4"/>
      <c r="K66" s="3"/>
      <c r="L66" s="3"/>
      <c r="M66" s="4"/>
      <c r="N66" s="4"/>
    </row>
    <row r="67" spans="2:18" x14ac:dyDescent="0.3">
      <c r="B67" s="45" t="s">
        <v>94</v>
      </c>
      <c r="C67" s="3"/>
      <c r="D67" s="4"/>
      <c r="H67" s="4"/>
      <c r="I67" s="4"/>
      <c r="K67" s="3"/>
      <c r="L67" s="3"/>
      <c r="M67" s="7" t="s">
        <v>88</v>
      </c>
      <c r="N67" s="4"/>
      <c r="P67" s="3"/>
      <c r="Q67" s="7" t="s">
        <v>88</v>
      </c>
      <c r="R67" s="4"/>
    </row>
    <row r="68" spans="2:18" x14ac:dyDescent="0.3">
      <c r="B68" s="265" t="s">
        <v>16</v>
      </c>
      <c r="C68" s="265"/>
      <c r="D68" s="265"/>
      <c r="E68" s="265"/>
      <c r="F68" s="265"/>
      <c r="G68" s="265"/>
      <c r="H68" s="265"/>
      <c r="I68" s="265"/>
      <c r="J68" s="265"/>
      <c r="K68" s="265"/>
      <c r="L68" s="5"/>
      <c r="M68" s="8" t="s">
        <v>116</v>
      </c>
      <c r="N68" s="5"/>
      <c r="P68" s="5"/>
      <c r="Q68" s="8" t="s">
        <v>117</v>
      </c>
      <c r="R68" s="5"/>
    </row>
    <row r="69" spans="2:18" ht="30.05" x14ac:dyDescent="0.3">
      <c r="B69" s="75" t="s">
        <v>17</v>
      </c>
      <c r="C69" s="75" t="s">
        <v>1</v>
      </c>
      <c r="D69" s="75" t="s">
        <v>2</v>
      </c>
      <c r="E69" s="75" t="s">
        <v>18</v>
      </c>
      <c r="F69" s="75" t="s">
        <v>19</v>
      </c>
      <c r="G69" s="75" t="s">
        <v>20</v>
      </c>
      <c r="H69" s="75" t="s">
        <v>21</v>
      </c>
      <c r="I69" s="75" t="s">
        <v>22</v>
      </c>
      <c r="J69" s="75" t="s">
        <v>12</v>
      </c>
      <c r="K69" s="75" t="s">
        <v>13</v>
      </c>
      <c r="L69" s="125" t="s">
        <v>2</v>
      </c>
      <c r="M69" s="125" t="s">
        <v>12</v>
      </c>
      <c r="N69" s="125" t="s">
        <v>13</v>
      </c>
      <c r="P69" s="125" t="s">
        <v>2</v>
      </c>
      <c r="Q69" s="125" t="s">
        <v>12</v>
      </c>
      <c r="R69" s="126" t="s">
        <v>13</v>
      </c>
    </row>
    <row r="70" spans="2:18" x14ac:dyDescent="0.3">
      <c r="B70" s="75" t="s">
        <v>7</v>
      </c>
      <c r="C70" s="75" t="s">
        <v>46</v>
      </c>
      <c r="D70" s="12">
        <v>-0.1502</v>
      </c>
      <c r="E70" s="1">
        <v>0.31900000000000001</v>
      </c>
      <c r="F70" s="1">
        <v>62</v>
      </c>
      <c r="G70" s="12">
        <v>-0.47</v>
      </c>
      <c r="H70" s="1">
        <v>0.63949999999999996</v>
      </c>
      <c r="I70" s="1">
        <v>0.1</v>
      </c>
      <c r="J70" s="12">
        <v>-0.68289999999999995</v>
      </c>
      <c r="K70" s="1">
        <v>0.3826</v>
      </c>
      <c r="L70" s="49">
        <f t="shared" ref="L70:L83" si="41">100*_xlfn.T.DIST(D70/$D$17,$F70,1)</f>
        <v>34.31441465421473</v>
      </c>
      <c r="M70" s="11">
        <f t="shared" ref="M70:N83" si="42">100*_xlfn.T.DIST(J70/$D$17,$F70,1)</f>
        <v>3.4907309530757007</v>
      </c>
      <c r="N70" s="11">
        <f t="shared" si="42"/>
        <v>84.734869430073203</v>
      </c>
      <c r="P70" s="49">
        <f>100*_xlfn.T.DIST(D70/$L$59,$F70,1)</f>
        <v>43.891282495522468</v>
      </c>
      <c r="Q70" s="11">
        <f>100*_xlfn.T.DIST(J70/$L$59,$F70,1)</f>
        <v>24.270785035774541</v>
      </c>
      <c r="R70" s="11">
        <f>100*_xlfn.T.DIST(K70/$L$59,$F70,1)</f>
        <v>65.224040562569726</v>
      </c>
    </row>
    <row r="71" spans="2:18" x14ac:dyDescent="0.3">
      <c r="B71" s="75" t="s">
        <v>7</v>
      </c>
      <c r="C71" s="75" t="s">
        <v>23</v>
      </c>
      <c r="D71" s="1">
        <v>8.029E-2</v>
      </c>
      <c r="E71" s="1">
        <v>0.34960000000000002</v>
      </c>
      <c r="F71" s="1">
        <v>62</v>
      </c>
      <c r="G71" s="1">
        <v>0.23</v>
      </c>
      <c r="H71" s="1">
        <v>0.81910000000000005</v>
      </c>
      <c r="I71" s="1">
        <v>0.1</v>
      </c>
      <c r="J71" s="12">
        <v>-0.50339999999999996</v>
      </c>
      <c r="K71" s="1">
        <v>0.66400000000000003</v>
      </c>
      <c r="L71" s="49">
        <f t="shared" si="41"/>
        <v>58.550884932172579</v>
      </c>
      <c r="M71" s="11">
        <f t="shared" si="42"/>
        <v>8.9370525293818925</v>
      </c>
      <c r="N71" s="11">
        <f t="shared" si="42"/>
        <v>96.115044337011796</v>
      </c>
      <c r="P71" s="49">
        <f t="shared" ref="P71:P83" si="43">100*_xlfn.T.DIST(D71/$L$59,$F71,1)</f>
        <v>53.274843330972253</v>
      </c>
      <c r="Q71" s="11">
        <f t="shared" ref="Q71:R83" si="44">100*_xlfn.T.DIST(J71/$L$59,$F71,1)</f>
        <v>30.337663707520591</v>
      </c>
      <c r="R71" s="11">
        <f t="shared" si="44"/>
        <v>75.123596668425051</v>
      </c>
    </row>
    <row r="72" spans="2:18" x14ac:dyDescent="0.3">
      <c r="B72" s="75" t="s">
        <v>7</v>
      </c>
      <c r="C72" s="75" t="s">
        <v>47</v>
      </c>
      <c r="D72" s="1">
        <v>0.2626</v>
      </c>
      <c r="E72" s="1">
        <v>0.32419999999999999</v>
      </c>
      <c r="F72" s="1">
        <v>62</v>
      </c>
      <c r="G72" s="1">
        <v>0.81</v>
      </c>
      <c r="H72" s="1">
        <v>0.42099999999999999</v>
      </c>
      <c r="I72" s="1">
        <v>0.1</v>
      </c>
      <c r="J72" s="12">
        <v>-0.2787</v>
      </c>
      <c r="K72" s="1">
        <v>0.80400000000000005</v>
      </c>
      <c r="L72" s="49">
        <f t="shared" si="41"/>
        <v>75.965393777190556</v>
      </c>
      <c r="M72" s="11">
        <f t="shared" si="42"/>
        <v>22.715931532310108</v>
      </c>
      <c r="N72" s="11">
        <f t="shared" si="42"/>
        <v>98.316264426300663</v>
      </c>
      <c r="P72" s="49">
        <f t="shared" si="43"/>
        <v>60.592431464443763</v>
      </c>
      <c r="Q72" s="11">
        <f t="shared" si="44"/>
        <v>38.775461771069885</v>
      </c>
      <c r="R72" s="11">
        <f t="shared" si="44"/>
        <v>79.409282057394734</v>
      </c>
    </row>
    <row r="73" spans="2:18" x14ac:dyDescent="0.3">
      <c r="B73" s="75" t="s">
        <v>7</v>
      </c>
      <c r="C73" s="75" t="s">
        <v>24</v>
      </c>
      <c r="D73" s="1">
        <v>5.2049999999999999E-2</v>
      </c>
      <c r="E73" s="1">
        <v>0.27460000000000001</v>
      </c>
      <c r="F73" s="1">
        <v>62</v>
      </c>
      <c r="G73" s="1">
        <v>0.19</v>
      </c>
      <c r="H73" s="1">
        <v>0.85029999999999994</v>
      </c>
      <c r="I73" s="1">
        <v>0.1</v>
      </c>
      <c r="J73" s="12">
        <v>-0.40649999999999997</v>
      </c>
      <c r="K73" s="1">
        <v>0.51070000000000004</v>
      </c>
      <c r="L73" s="49">
        <f t="shared" si="41"/>
        <v>55.568869321161152</v>
      </c>
      <c r="M73" s="11">
        <f t="shared" si="42"/>
        <v>13.817157677163483</v>
      </c>
      <c r="N73" s="11">
        <f t="shared" si="42"/>
        <v>91.369278525875743</v>
      </c>
      <c r="P73" s="49">
        <f t="shared" si="43"/>
        <v>52.124417751663898</v>
      </c>
      <c r="Q73" s="11">
        <f t="shared" si="44"/>
        <v>33.87814223513984</v>
      </c>
      <c r="R73" s="11">
        <f t="shared" si="44"/>
        <v>69.922092602239744</v>
      </c>
    </row>
    <row r="74" spans="2:18" x14ac:dyDescent="0.3">
      <c r="B74" s="75" t="s">
        <v>7</v>
      </c>
      <c r="C74" s="75" t="s">
        <v>25</v>
      </c>
      <c r="D74" s="1">
        <v>0.24660000000000001</v>
      </c>
      <c r="E74" s="1">
        <v>0.31140000000000001</v>
      </c>
      <c r="F74" s="1">
        <v>62</v>
      </c>
      <c r="G74" s="1">
        <v>0.79</v>
      </c>
      <c r="H74" s="1">
        <v>0.43149999999999999</v>
      </c>
      <c r="I74" s="1">
        <v>0.1</v>
      </c>
      <c r="J74" s="12">
        <v>-0.27339999999999998</v>
      </c>
      <c r="K74" s="1">
        <v>0.76649999999999996</v>
      </c>
      <c r="L74" s="49">
        <f t="shared" si="41"/>
        <v>74.613638896500632</v>
      </c>
      <c r="M74" s="11">
        <f t="shared" si="42"/>
        <v>23.145357349630093</v>
      </c>
      <c r="N74" s="11">
        <f t="shared" si="42"/>
        <v>97.872954476398817</v>
      </c>
      <c r="P74" s="49">
        <f t="shared" si="43"/>
        <v>59.961405980200212</v>
      </c>
      <c r="Q74" s="11">
        <f t="shared" si="44"/>
        <v>38.983219614966593</v>
      </c>
      <c r="R74" s="11">
        <f t="shared" si="44"/>
        <v>78.307488043438482</v>
      </c>
    </row>
    <row r="75" spans="2:18" x14ac:dyDescent="0.3">
      <c r="B75" s="75" t="s">
        <v>7</v>
      </c>
      <c r="C75" s="75" t="s">
        <v>26</v>
      </c>
      <c r="D75" s="12">
        <v>-3.1690000000000003E-2</v>
      </c>
      <c r="E75" s="1">
        <v>0.2384</v>
      </c>
      <c r="F75" s="1">
        <v>62</v>
      </c>
      <c r="G75" s="12">
        <v>-0.13</v>
      </c>
      <c r="H75" s="1">
        <v>0.89470000000000005</v>
      </c>
      <c r="I75" s="1">
        <v>0.1</v>
      </c>
      <c r="J75" s="12">
        <v>-0.42980000000000002</v>
      </c>
      <c r="K75" s="1">
        <v>0.3664</v>
      </c>
      <c r="L75" s="49">
        <f t="shared" si="41"/>
        <v>46.602323304774984</v>
      </c>
      <c r="M75" s="11">
        <f t="shared" si="42"/>
        <v>12.500639374076359</v>
      </c>
      <c r="N75" s="11">
        <f t="shared" si="42"/>
        <v>83.696681920735443</v>
      </c>
      <c r="P75" s="49">
        <f t="shared" si="43"/>
        <v>48.706180078469764</v>
      </c>
      <c r="Q75" s="11">
        <f t="shared" si="44"/>
        <v>33.011800206828049</v>
      </c>
      <c r="R75" s="11">
        <f t="shared" si="44"/>
        <v>64.610427874577496</v>
      </c>
    </row>
    <row r="76" spans="2:18" x14ac:dyDescent="0.3">
      <c r="B76" s="75" t="s">
        <v>7</v>
      </c>
      <c r="C76" s="75" t="s">
        <v>27</v>
      </c>
      <c r="D76" s="12">
        <v>-0.51570000000000005</v>
      </c>
      <c r="E76" s="1">
        <v>0.25900000000000001</v>
      </c>
      <c r="F76" s="1">
        <v>62</v>
      </c>
      <c r="G76" s="12">
        <v>-1.99</v>
      </c>
      <c r="H76" s="1">
        <v>5.0799999999999998E-2</v>
      </c>
      <c r="I76" s="1">
        <v>0.1</v>
      </c>
      <c r="J76" s="12">
        <v>-0.94820000000000004</v>
      </c>
      <c r="K76" s="12">
        <v>-8.3330000000000001E-2</v>
      </c>
      <c r="L76" s="49">
        <f t="shared" si="41"/>
        <v>8.4255912180210952</v>
      </c>
      <c r="M76" s="11">
        <f t="shared" si="42"/>
        <v>0.64296646750036079</v>
      </c>
      <c r="N76" s="11">
        <f t="shared" si="42"/>
        <v>41.130771629253275</v>
      </c>
      <c r="P76" s="49">
        <f t="shared" si="43"/>
        <v>29.900587352306719</v>
      </c>
      <c r="Q76" s="11">
        <f t="shared" si="44"/>
        <v>16.680383151263012</v>
      </c>
      <c r="R76" s="11">
        <f t="shared" si="44"/>
        <v>46.601464177352</v>
      </c>
    </row>
    <row r="77" spans="2:18" x14ac:dyDescent="0.3">
      <c r="B77" s="75" t="s">
        <v>7</v>
      </c>
      <c r="C77" s="75" t="s">
        <v>48</v>
      </c>
      <c r="D77" s="12">
        <v>-7.1900000000000006E-2</v>
      </c>
      <c r="E77" s="1">
        <v>0.34820000000000001</v>
      </c>
      <c r="F77" s="1">
        <v>62</v>
      </c>
      <c r="G77" s="12">
        <v>-0.21</v>
      </c>
      <c r="H77" s="1">
        <v>0.83709999999999996</v>
      </c>
      <c r="I77" s="1">
        <v>0.1</v>
      </c>
      <c r="J77" s="12">
        <v>-0.6532</v>
      </c>
      <c r="K77" s="1">
        <v>0.50939999999999996</v>
      </c>
      <c r="L77" s="49">
        <f t="shared" si="41"/>
        <v>42.330628223015701</v>
      </c>
      <c r="M77" s="11">
        <f t="shared" si="42"/>
        <v>4.1264522182032666</v>
      </c>
      <c r="N77" s="11">
        <f t="shared" si="42"/>
        <v>91.315322959654353</v>
      </c>
      <c r="P77" s="49">
        <f t="shared" si="43"/>
        <v>47.066696077020239</v>
      </c>
      <c r="Q77" s="11">
        <f t="shared" si="44"/>
        <v>25.226137879889187</v>
      </c>
      <c r="R77" s="11">
        <f t="shared" si="44"/>
        <v>69.875909900676547</v>
      </c>
    </row>
    <row r="78" spans="2:18" x14ac:dyDescent="0.3">
      <c r="B78" s="75" t="s">
        <v>7</v>
      </c>
      <c r="C78" s="75" t="s">
        <v>49</v>
      </c>
      <c r="D78" s="1">
        <v>0.15010000000000001</v>
      </c>
      <c r="E78" s="1">
        <v>0.3533</v>
      </c>
      <c r="F78" s="1">
        <v>62</v>
      </c>
      <c r="G78" s="1">
        <v>0.42</v>
      </c>
      <c r="H78" s="1">
        <v>0.67249999999999999</v>
      </c>
      <c r="I78" s="1">
        <v>0.1</v>
      </c>
      <c r="J78" s="12">
        <v>-0.43990000000000001</v>
      </c>
      <c r="K78" s="1">
        <v>0.74009999999999998</v>
      </c>
      <c r="L78" s="49">
        <f t="shared" si="41"/>
        <v>65.675710366691803</v>
      </c>
      <c r="M78" s="11">
        <f t="shared" si="42"/>
        <v>11.958745751492222</v>
      </c>
      <c r="N78" s="11">
        <f t="shared" si="42"/>
        <v>97.50315705865691</v>
      </c>
      <c r="P78" s="49">
        <f t="shared" si="43"/>
        <v>56.104683126830366</v>
      </c>
      <c r="Q78" s="11">
        <f t="shared" si="44"/>
        <v>32.639106353079519</v>
      </c>
      <c r="R78" s="11">
        <f t="shared" si="44"/>
        <v>77.511295279634368</v>
      </c>
    </row>
    <row r="79" spans="2:18" x14ac:dyDescent="0.3">
      <c r="B79" s="75" t="s">
        <v>7</v>
      </c>
      <c r="C79" s="75" t="s">
        <v>50</v>
      </c>
      <c r="D79" s="12">
        <v>-0.17050000000000001</v>
      </c>
      <c r="E79" s="1">
        <v>0.31630000000000003</v>
      </c>
      <c r="F79" s="1">
        <v>62</v>
      </c>
      <c r="G79" s="12">
        <v>-0.54</v>
      </c>
      <c r="H79" s="1">
        <v>0.59189999999999998</v>
      </c>
      <c r="I79" s="1">
        <v>0.1</v>
      </c>
      <c r="J79" s="12">
        <v>-0.69869999999999999</v>
      </c>
      <c r="K79" s="1">
        <v>0.35770000000000002</v>
      </c>
      <c r="L79" s="49">
        <f t="shared" si="41"/>
        <v>32.333337097222739</v>
      </c>
      <c r="M79" s="11">
        <f t="shared" si="42"/>
        <v>3.1875019443442612</v>
      </c>
      <c r="N79" s="11">
        <f t="shared" si="42"/>
        <v>83.120161217002703</v>
      </c>
      <c r="P79" s="49">
        <f t="shared" si="43"/>
        <v>43.073708567381971</v>
      </c>
      <c r="Q79" s="11">
        <f t="shared" si="44"/>
        <v>23.770839554125487</v>
      </c>
      <c r="R79" s="11">
        <f t="shared" si="44"/>
        <v>64.279271026001254</v>
      </c>
    </row>
    <row r="80" spans="2:18" x14ac:dyDescent="0.3">
      <c r="B80" s="75" t="s">
        <v>7</v>
      </c>
      <c r="C80" s="75" t="s">
        <v>51</v>
      </c>
      <c r="D80" s="1">
        <v>0</v>
      </c>
      <c r="E80" s="1">
        <v>0.37019999999999997</v>
      </c>
      <c r="F80" s="1">
        <v>62</v>
      </c>
      <c r="G80" s="1">
        <v>0</v>
      </c>
      <c r="H80" s="1">
        <v>1</v>
      </c>
      <c r="I80" s="1">
        <v>0.1</v>
      </c>
      <c r="J80" s="12">
        <v>-0.61809999999999998</v>
      </c>
      <c r="K80" s="1">
        <v>0.61809999999999998</v>
      </c>
      <c r="L80" s="49">
        <f t="shared" si="41"/>
        <v>50</v>
      </c>
      <c r="M80" s="11">
        <f t="shared" si="42"/>
        <v>4.9987419786308998</v>
      </c>
      <c r="N80" s="11">
        <f t="shared" si="42"/>
        <v>95.001258021369097</v>
      </c>
      <c r="P80" s="49">
        <f t="shared" si="43"/>
        <v>50</v>
      </c>
      <c r="Q80" s="11">
        <f t="shared" si="44"/>
        <v>26.380874771262569</v>
      </c>
      <c r="R80" s="11">
        <f t="shared" si="44"/>
        <v>73.619125228737431</v>
      </c>
    </row>
    <row r="81" spans="2:18" x14ac:dyDescent="0.3">
      <c r="B81" s="75" t="s">
        <v>7</v>
      </c>
      <c r="C81" s="75" t="s">
        <v>28</v>
      </c>
      <c r="D81" s="12">
        <v>-0.47689999999999999</v>
      </c>
      <c r="E81" s="1">
        <v>0.25040000000000001</v>
      </c>
      <c r="F81" s="1">
        <v>62</v>
      </c>
      <c r="G81" s="12">
        <v>-1.9</v>
      </c>
      <c r="H81" s="1">
        <v>6.1499999999999999E-2</v>
      </c>
      <c r="I81" s="1">
        <v>0.1</v>
      </c>
      <c r="J81" s="12">
        <v>-0.89510000000000001</v>
      </c>
      <c r="K81" s="12">
        <v>-5.8680000000000003E-2</v>
      </c>
      <c r="L81" s="49">
        <f t="shared" si="41"/>
        <v>10.118870243034026</v>
      </c>
      <c r="M81" s="11">
        <f t="shared" si="42"/>
        <v>0.92718538825106411</v>
      </c>
      <c r="N81" s="11">
        <f t="shared" si="42"/>
        <v>43.727458398700875</v>
      </c>
      <c r="P81" s="49">
        <f t="shared" si="43"/>
        <v>31.289124248203571</v>
      </c>
      <c r="Q81" s="11">
        <f t="shared" si="44"/>
        <v>18.059430630285689</v>
      </c>
      <c r="R81" s="11">
        <f t="shared" si="44"/>
        <v>47.605293515941305</v>
      </c>
    </row>
    <row r="82" spans="2:18" x14ac:dyDescent="0.3">
      <c r="B82" s="75" t="s">
        <v>7</v>
      </c>
      <c r="C82" s="75" t="s">
        <v>29</v>
      </c>
      <c r="D82" s="1">
        <v>0.18770000000000001</v>
      </c>
      <c r="E82" s="1">
        <v>0.33710000000000001</v>
      </c>
      <c r="F82" s="1">
        <v>62</v>
      </c>
      <c r="G82" s="1">
        <v>0.56000000000000005</v>
      </c>
      <c r="H82" s="1">
        <v>0.57969999999999999</v>
      </c>
      <c r="I82" s="1">
        <v>0.1</v>
      </c>
      <c r="J82" s="12">
        <v>-0.37519999999999998</v>
      </c>
      <c r="K82" s="1">
        <v>0.75070000000000003</v>
      </c>
      <c r="L82" s="49">
        <f t="shared" si="41"/>
        <v>69.306241474829065</v>
      </c>
      <c r="M82" s="11">
        <f t="shared" si="42"/>
        <v>15.733663233599701</v>
      </c>
      <c r="N82" s="11">
        <f t="shared" si="42"/>
        <v>97.657798320733264</v>
      </c>
      <c r="P82" s="49">
        <f t="shared" si="43"/>
        <v>57.616657014069872</v>
      </c>
      <c r="Q82" s="11">
        <f t="shared" si="44"/>
        <v>35.05575689278713</v>
      </c>
      <c r="R82" s="11">
        <f t="shared" si="44"/>
        <v>77.833000018581544</v>
      </c>
    </row>
    <row r="83" spans="2:18" x14ac:dyDescent="0.3">
      <c r="B83" s="75" t="s">
        <v>7</v>
      </c>
      <c r="C83" s="75" t="s">
        <v>52</v>
      </c>
      <c r="D83" s="1">
        <v>0.26440000000000002</v>
      </c>
      <c r="E83" s="1">
        <v>0.33889999999999998</v>
      </c>
      <c r="F83" s="1">
        <v>62</v>
      </c>
      <c r="G83" s="1">
        <v>0.78</v>
      </c>
      <c r="H83" s="1">
        <v>0.43840000000000001</v>
      </c>
      <c r="I83" s="1">
        <v>0.1</v>
      </c>
      <c r="J83" s="12">
        <v>-0.30159999999999998</v>
      </c>
      <c r="K83" s="1">
        <v>0.83030000000000004</v>
      </c>
      <c r="L83" s="49">
        <f t="shared" si="41"/>
        <v>76.114913771965405</v>
      </c>
      <c r="M83" s="11">
        <f t="shared" si="42"/>
        <v>20.914215187109122</v>
      </c>
      <c r="N83" s="11">
        <f t="shared" si="42"/>
        <v>98.57676878667813</v>
      </c>
      <c r="P83" s="49">
        <f t="shared" si="43"/>
        <v>60.663247334883621</v>
      </c>
      <c r="Q83" s="11">
        <f t="shared" si="44"/>
        <v>37.881641211023883</v>
      </c>
      <c r="R83" s="11">
        <f t="shared" si="44"/>
        <v>80.161331518294119</v>
      </c>
    </row>
    <row r="84" spans="2:18" x14ac:dyDescent="0.3">
      <c r="B84" s="75" t="s">
        <v>7</v>
      </c>
      <c r="C84" s="75" t="s">
        <v>30</v>
      </c>
      <c r="D84" s="12">
        <v>-0.1913</v>
      </c>
      <c r="E84" s="1">
        <v>0.2437</v>
      </c>
      <c r="F84" s="1">
        <v>62</v>
      </c>
      <c r="G84" s="12">
        <v>-0.78</v>
      </c>
      <c r="H84" s="1">
        <v>0.4355</v>
      </c>
      <c r="I84" s="1">
        <v>0.1</v>
      </c>
      <c r="J84" s="12">
        <v>-0.59830000000000005</v>
      </c>
      <c r="K84" s="1">
        <v>0.2157</v>
      </c>
      <c r="L84" s="49">
        <f t="shared" ref="L84:L93" si="45">100*_xlfn.T.DIST(D84/$D$17,$F84,1)</f>
        <v>30.355393507495045</v>
      </c>
      <c r="M84" s="11">
        <f t="shared" ref="M84:M93" si="46">100*_xlfn.T.DIST(J84/$D$17,$F84,1)</f>
        <v>5.553869037779692</v>
      </c>
      <c r="N84" s="11">
        <f t="shared" ref="N84:N93" si="47">100*_xlfn.T.DIST(K84/$D$17,$F84,1)</f>
        <v>71.891581977526116</v>
      </c>
      <c r="P84" s="49">
        <f t="shared" ref="P84:P93" si="48">100*_xlfn.T.DIST(D84/$L$59,$F84,1)</f>
        <v>42.239142864747684</v>
      </c>
      <c r="Q84" s="11">
        <f t="shared" ref="Q84:Q93" si="49">100*_xlfn.T.DIST(J84/$L$59,$F84,1)</f>
        <v>27.044243233616704</v>
      </c>
      <c r="R84" s="11">
        <f t="shared" ref="R84:R93" si="50">100*_xlfn.T.DIST(K84/$L$59,$F84,1)</f>
        <v>58.735309882715427</v>
      </c>
    </row>
    <row r="85" spans="2:18" x14ac:dyDescent="0.3">
      <c r="B85" s="75" t="s">
        <v>7</v>
      </c>
      <c r="C85" s="75" t="s">
        <v>53</v>
      </c>
      <c r="D85" s="12">
        <v>-9.1689999999999994E-2</v>
      </c>
      <c r="E85" s="1">
        <v>0.34250000000000003</v>
      </c>
      <c r="F85" s="1">
        <v>62</v>
      </c>
      <c r="G85" s="12">
        <v>-0.27</v>
      </c>
      <c r="H85" s="1">
        <v>0.78979999999999995</v>
      </c>
      <c r="I85" s="1">
        <v>0.1</v>
      </c>
      <c r="J85" s="12">
        <v>-0.66369999999999996</v>
      </c>
      <c r="K85" s="1">
        <v>0.4803</v>
      </c>
      <c r="L85" s="49">
        <f t="shared" si="45"/>
        <v>40.258467654761141</v>
      </c>
      <c r="M85" s="11">
        <f t="shared" si="46"/>
        <v>3.8915011459145261</v>
      </c>
      <c r="N85" s="11">
        <f t="shared" si="47"/>
        <v>90.038981309938634</v>
      </c>
      <c r="P85" s="49">
        <f t="shared" si="48"/>
        <v>46.261486836925137</v>
      </c>
      <c r="Q85" s="11">
        <f t="shared" si="49"/>
        <v>24.886082346427852</v>
      </c>
      <c r="R85" s="11">
        <f t="shared" si="50"/>
        <v>68.83368493498844</v>
      </c>
    </row>
    <row r="86" spans="2:18" x14ac:dyDescent="0.3">
      <c r="B86" s="75" t="s">
        <v>7</v>
      </c>
      <c r="C86" s="75" t="s">
        <v>31</v>
      </c>
      <c r="D86" s="1">
        <v>0.1857</v>
      </c>
      <c r="E86" s="1">
        <v>0.25269999999999998</v>
      </c>
      <c r="F86" s="1">
        <v>62</v>
      </c>
      <c r="G86" s="1">
        <v>0.73</v>
      </c>
      <c r="H86" s="1">
        <v>0.4652</v>
      </c>
      <c r="I86" s="1">
        <v>0.1</v>
      </c>
      <c r="J86" s="12">
        <v>-0.23619999999999999</v>
      </c>
      <c r="K86" s="1">
        <v>0.60760000000000003</v>
      </c>
      <c r="L86" s="49">
        <f t="shared" si="45"/>
        <v>69.117527830830042</v>
      </c>
      <c r="M86" s="11">
        <f t="shared" si="46"/>
        <v>26.286458535922396</v>
      </c>
      <c r="N86" s="11">
        <f t="shared" si="47"/>
        <v>94.712791946319271</v>
      </c>
      <c r="P86" s="49">
        <f t="shared" si="48"/>
        <v>57.536500536855172</v>
      </c>
      <c r="Q86" s="11">
        <f t="shared" si="49"/>
        <v>40.450205152938281</v>
      </c>
      <c r="R86" s="11">
        <f t="shared" si="50"/>
        <v>73.268399763285359</v>
      </c>
    </row>
    <row r="87" spans="2:18" x14ac:dyDescent="0.3">
      <c r="B87" s="75" t="s">
        <v>7</v>
      </c>
      <c r="C87" s="75" t="s">
        <v>32</v>
      </c>
      <c r="D87" s="1">
        <v>1.4670000000000001E-2</v>
      </c>
      <c r="E87" s="1">
        <v>0.2722</v>
      </c>
      <c r="F87" s="1">
        <v>62</v>
      </c>
      <c r="G87" s="1">
        <v>0.05</v>
      </c>
      <c r="H87" s="1">
        <v>0.95720000000000005</v>
      </c>
      <c r="I87" s="1">
        <v>0.1</v>
      </c>
      <c r="J87" s="12">
        <v>-0.43980000000000002</v>
      </c>
      <c r="K87" s="1">
        <v>0.46910000000000002</v>
      </c>
      <c r="L87" s="49">
        <f t="shared" si="45"/>
        <v>51.574393400412518</v>
      </c>
      <c r="M87" s="11">
        <f t="shared" si="46"/>
        <v>11.964026534920817</v>
      </c>
      <c r="N87" s="11">
        <f t="shared" si="47"/>
        <v>89.511957806896831</v>
      </c>
      <c r="P87" s="49">
        <f t="shared" si="48"/>
        <v>50.599022310560258</v>
      </c>
      <c r="Q87" s="11">
        <f t="shared" si="49"/>
        <v>32.642787782650508</v>
      </c>
      <c r="R87" s="11">
        <f t="shared" si="50"/>
        <v>68.428333801435613</v>
      </c>
    </row>
    <row r="88" spans="2:18" x14ac:dyDescent="0.3">
      <c r="B88" s="75" t="s">
        <v>7</v>
      </c>
      <c r="C88" s="75" t="s">
        <v>33</v>
      </c>
      <c r="D88" s="1">
        <v>3.0759999999999999E-2</v>
      </c>
      <c r="E88" s="1">
        <v>0.3286</v>
      </c>
      <c r="F88" s="1">
        <v>62</v>
      </c>
      <c r="G88" s="1">
        <v>0.09</v>
      </c>
      <c r="H88" s="1">
        <v>0.92569999999999997</v>
      </c>
      <c r="I88" s="1">
        <v>0.1</v>
      </c>
      <c r="J88" s="12">
        <v>-0.51790000000000003</v>
      </c>
      <c r="K88" s="1">
        <v>0.57940000000000003</v>
      </c>
      <c r="L88" s="49">
        <f t="shared" si="45"/>
        <v>53.298202307070838</v>
      </c>
      <c r="M88" s="11">
        <f t="shared" si="46"/>
        <v>8.3365299843047573</v>
      </c>
      <c r="N88" s="11">
        <f t="shared" si="47"/>
        <v>93.87073111371194</v>
      </c>
      <c r="P88" s="49">
        <f t="shared" si="48"/>
        <v>51.25586349537641</v>
      </c>
      <c r="Q88" s="11">
        <f t="shared" si="49"/>
        <v>29.822720873833013</v>
      </c>
      <c r="R88" s="11">
        <f t="shared" si="50"/>
        <v>72.314669772379631</v>
      </c>
    </row>
    <row r="89" spans="2:18" x14ac:dyDescent="0.3">
      <c r="B89" s="75" t="s">
        <v>7</v>
      </c>
      <c r="C89" s="75" t="s">
        <v>54</v>
      </c>
      <c r="D89" s="12">
        <v>-0.1273</v>
      </c>
      <c r="E89" s="1">
        <v>0.34689999999999999</v>
      </c>
      <c r="F89" s="1">
        <v>62</v>
      </c>
      <c r="G89" s="12">
        <v>-0.37</v>
      </c>
      <c r="H89" s="1">
        <v>0.71489999999999998</v>
      </c>
      <c r="I89" s="1">
        <v>0.1</v>
      </c>
      <c r="J89" s="12">
        <v>-0.70660000000000001</v>
      </c>
      <c r="K89" s="1">
        <v>0.45200000000000001</v>
      </c>
      <c r="L89" s="49">
        <f t="shared" si="45"/>
        <v>36.603189833997206</v>
      </c>
      <c r="M89" s="11">
        <f t="shared" si="46"/>
        <v>3.0444392490237626</v>
      </c>
      <c r="N89" s="11">
        <f t="shared" si="47"/>
        <v>88.667849277072804</v>
      </c>
      <c r="P89" s="49">
        <f t="shared" si="48"/>
        <v>44.81676737352025</v>
      </c>
      <c r="Q89" s="11">
        <f t="shared" si="49"/>
        <v>23.523052972882848</v>
      </c>
      <c r="R89" s="11">
        <f t="shared" si="50"/>
        <v>67.805058924680708</v>
      </c>
    </row>
    <row r="90" spans="2:18" x14ac:dyDescent="0.3">
      <c r="B90" s="75" t="s">
        <v>7</v>
      </c>
      <c r="C90" s="75" t="s">
        <v>34</v>
      </c>
      <c r="D90" s="1">
        <v>5.9769999999999997E-2</v>
      </c>
      <c r="E90" s="1">
        <v>0.33279999999999998</v>
      </c>
      <c r="F90" s="1">
        <v>62</v>
      </c>
      <c r="G90" s="1">
        <v>0.18</v>
      </c>
      <c r="H90" s="1">
        <v>0.85809999999999997</v>
      </c>
      <c r="I90" s="1">
        <v>0.1</v>
      </c>
      <c r="J90" s="12">
        <v>-0.496</v>
      </c>
      <c r="K90" s="1">
        <v>0.61560000000000004</v>
      </c>
      <c r="L90" s="49">
        <f t="shared" si="45"/>
        <v>56.388040250294601</v>
      </c>
      <c r="M90" s="11">
        <f t="shared" si="46"/>
        <v>9.2559654565174849</v>
      </c>
      <c r="N90" s="11">
        <f t="shared" si="47"/>
        <v>94.933768321134608</v>
      </c>
      <c r="P90" s="49">
        <f t="shared" si="48"/>
        <v>52.439132632521989</v>
      </c>
      <c r="Q90" s="11">
        <f t="shared" si="49"/>
        <v>30.602021420243851</v>
      </c>
      <c r="R90" s="11">
        <f t="shared" si="50"/>
        <v>73.535837655317593</v>
      </c>
    </row>
    <row r="91" spans="2:18" x14ac:dyDescent="0.3">
      <c r="B91" s="75" t="s">
        <v>7</v>
      </c>
      <c r="C91" s="75" t="s">
        <v>35</v>
      </c>
      <c r="D91" s="1">
        <v>9.3840000000000007E-2</v>
      </c>
      <c r="E91" s="1">
        <v>0.24010000000000001</v>
      </c>
      <c r="F91" s="1">
        <v>62</v>
      </c>
      <c r="G91" s="1">
        <v>0.39</v>
      </c>
      <c r="H91" s="1">
        <v>0.69720000000000004</v>
      </c>
      <c r="I91" s="1">
        <v>0.1</v>
      </c>
      <c r="J91" s="12">
        <v>-0.30709999999999998</v>
      </c>
      <c r="K91" s="1">
        <v>0.49480000000000002</v>
      </c>
      <c r="L91" s="49">
        <f t="shared" si="45"/>
        <v>59.965087125516384</v>
      </c>
      <c r="M91" s="11">
        <f t="shared" si="46"/>
        <v>20.4946674781262</v>
      </c>
      <c r="N91" s="11">
        <f t="shared" si="47"/>
        <v>90.691516070858739</v>
      </c>
      <c r="P91" s="49">
        <f t="shared" si="48"/>
        <v>53.825903349441283</v>
      </c>
      <c r="Q91" s="11">
        <f t="shared" si="49"/>
        <v>37.667932690043841</v>
      </c>
      <c r="R91" s="11">
        <f t="shared" si="50"/>
        <v>69.355011556665829</v>
      </c>
    </row>
    <row r="92" spans="2:18" x14ac:dyDescent="0.3">
      <c r="B92" s="75" t="s">
        <v>7</v>
      </c>
      <c r="C92" s="75" t="s">
        <v>36</v>
      </c>
      <c r="D92" s="1">
        <v>0.26429999999999998</v>
      </c>
      <c r="E92" s="1">
        <v>0.25940000000000002</v>
      </c>
      <c r="F92" s="1">
        <v>62</v>
      </c>
      <c r="G92" s="1">
        <v>1.02</v>
      </c>
      <c r="H92" s="1">
        <v>0.31230000000000002</v>
      </c>
      <c r="I92" s="1">
        <v>0.1</v>
      </c>
      <c r="J92" s="12">
        <v>-0.16889999999999999</v>
      </c>
      <c r="K92" s="1">
        <v>0.69740000000000002</v>
      </c>
      <c r="L92" s="49">
        <f t="shared" si="45"/>
        <v>76.10662079945439</v>
      </c>
      <c r="M92" s="11">
        <f t="shared" si="46"/>
        <v>32.487725677881294</v>
      </c>
      <c r="N92" s="11">
        <f t="shared" si="47"/>
        <v>96.788419321545405</v>
      </c>
      <c r="P92" s="49">
        <f t="shared" si="48"/>
        <v>60.659314065312017</v>
      </c>
      <c r="Q92" s="11">
        <f t="shared" si="49"/>
        <v>43.138042464296973</v>
      </c>
      <c r="R92" s="11">
        <f t="shared" si="50"/>
        <v>76.188245336781947</v>
      </c>
    </row>
    <row r="93" spans="2:18" x14ac:dyDescent="0.3">
      <c r="B93" s="75" t="s">
        <v>7</v>
      </c>
      <c r="C93" s="75" t="s">
        <v>55</v>
      </c>
      <c r="D93" s="12">
        <v>-6.5530000000000005E-2</v>
      </c>
      <c r="E93" s="1">
        <v>0.3301</v>
      </c>
      <c r="F93" s="1">
        <v>62</v>
      </c>
      <c r="G93" s="12">
        <v>-0.2</v>
      </c>
      <c r="H93" s="1">
        <v>0.84330000000000005</v>
      </c>
      <c r="I93" s="1">
        <v>0.1</v>
      </c>
      <c r="J93" s="12">
        <v>-0.61670000000000003</v>
      </c>
      <c r="K93" s="1">
        <v>0.48570000000000002</v>
      </c>
      <c r="L93" s="49">
        <f t="shared" si="45"/>
        <v>43.002567776003808</v>
      </c>
      <c r="M93" s="11">
        <f t="shared" si="46"/>
        <v>5.0364451721433063</v>
      </c>
      <c r="N93" s="11">
        <f t="shared" si="47"/>
        <v>90.285887261259191</v>
      </c>
      <c r="P93" s="49">
        <f t="shared" si="48"/>
        <v>47.32615457654277</v>
      </c>
      <c r="Q93" s="11">
        <f t="shared" si="49"/>
        <v>26.427498940085766</v>
      </c>
      <c r="R93" s="11">
        <f t="shared" si="50"/>
        <v>69.028294090635328</v>
      </c>
    </row>
  </sheetData>
  <mergeCells count="269">
    <mergeCell ref="DJ46:DM46"/>
    <mergeCell ref="DN46:DO46"/>
    <mergeCell ref="DP46:DR47"/>
    <mergeCell ref="DS46:DU47"/>
    <mergeCell ref="DV46:DX47"/>
    <mergeCell ref="DY46:DY47"/>
    <mergeCell ref="CU46:CW47"/>
    <mergeCell ref="CX46:CX47"/>
    <mergeCell ref="DA46:DA47"/>
    <mergeCell ref="DB46:DB47"/>
    <mergeCell ref="DC46:DE46"/>
    <mergeCell ref="DF46:DG46"/>
    <mergeCell ref="AY46:AY47"/>
    <mergeCell ref="AZ46:AZ47"/>
    <mergeCell ref="BA46:BC46"/>
    <mergeCell ref="BD46:BE46"/>
    <mergeCell ref="BH46:BK46"/>
    <mergeCell ref="BL46:BM46"/>
    <mergeCell ref="CI45:CN45"/>
    <mergeCell ref="CO45:CW45"/>
    <mergeCell ref="DA45:DG45"/>
    <mergeCell ref="CB46:CD46"/>
    <mergeCell ref="CE46:CF46"/>
    <mergeCell ref="CI46:CL46"/>
    <mergeCell ref="CM46:CN46"/>
    <mergeCell ref="CO46:CQ47"/>
    <mergeCell ref="CR46:CT47"/>
    <mergeCell ref="BN46:BP47"/>
    <mergeCell ref="BQ46:BS47"/>
    <mergeCell ref="BT46:BV47"/>
    <mergeCell ref="BW46:BW47"/>
    <mergeCell ref="BZ46:BZ47"/>
    <mergeCell ref="CA46:CA47"/>
    <mergeCell ref="DH45:DI45"/>
    <mergeCell ref="DJ45:DO45"/>
    <mergeCell ref="DP45:DX45"/>
    <mergeCell ref="AY45:BE45"/>
    <mergeCell ref="BF45:BG45"/>
    <mergeCell ref="BH45:BM45"/>
    <mergeCell ref="BN45:BV45"/>
    <mergeCell ref="BZ45:CF45"/>
    <mergeCell ref="CG45:CH45"/>
    <mergeCell ref="DJ42:DM42"/>
    <mergeCell ref="DN42:DO42"/>
    <mergeCell ref="DP42:DR43"/>
    <mergeCell ref="DS42:DU43"/>
    <mergeCell ref="DV42:DX43"/>
    <mergeCell ref="DY42:DY43"/>
    <mergeCell ref="CU42:CW43"/>
    <mergeCell ref="CX42:CX43"/>
    <mergeCell ref="DA42:DA43"/>
    <mergeCell ref="DB42:DB43"/>
    <mergeCell ref="DC42:DE42"/>
    <mergeCell ref="DF42:DG42"/>
    <mergeCell ref="AY42:AY43"/>
    <mergeCell ref="AZ42:AZ43"/>
    <mergeCell ref="BA42:BC42"/>
    <mergeCell ref="BD42:BE42"/>
    <mergeCell ref="BH42:BK42"/>
    <mergeCell ref="BL42:BM42"/>
    <mergeCell ref="CI41:CN41"/>
    <mergeCell ref="CO41:CW41"/>
    <mergeCell ref="DA41:DG41"/>
    <mergeCell ref="CB42:CD42"/>
    <mergeCell ref="CE42:CF42"/>
    <mergeCell ref="CI42:CL42"/>
    <mergeCell ref="CM42:CN42"/>
    <mergeCell ref="CO42:CQ43"/>
    <mergeCell ref="CR42:CT43"/>
    <mergeCell ref="BN42:BP43"/>
    <mergeCell ref="BQ42:BS43"/>
    <mergeCell ref="BT42:BV43"/>
    <mergeCell ref="BW42:BW43"/>
    <mergeCell ref="BZ42:BZ43"/>
    <mergeCell ref="CA42:CA43"/>
    <mergeCell ref="DH41:DI41"/>
    <mergeCell ref="DJ41:DO41"/>
    <mergeCell ref="DP41:DX41"/>
    <mergeCell ref="AY41:BE41"/>
    <mergeCell ref="BF41:BG41"/>
    <mergeCell ref="BH41:BM41"/>
    <mergeCell ref="BN41:BV41"/>
    <mergeCell ref="BZ41:CF41"/>
    <mergeCell ref="CG41:CH41"/>
    <mergeCell ref="DJ38:DM38"/>
    <mergeCell ref="DN38:DO38"/>
    <mergeCell ref="DP38:DR39"/>
    <mergeCell ref="DS38:DU39"/>
    <mergeCell ref="DV38:DX39"/>
    <mergeCell ref="DY38:DY39"/>
    <mergeCell ref="CU38:CW39"/>
    <mergeCell ref="CX38:CX39"/>
    <mergeCell ref="DA38:DA39"/>
    <mergeCell ref="DB38:DB39"/>
    <mergeCell ref="DC38:DE38"/>
    <mergeCell ref="DF38:DG38"/>
    <mergeCell ref="AY38:AY39"/>
    <mergeCell ref="AZ38:AZ39"/>
    <mergeCell ref="BA38:BC38"/>
    <mergeCell ref="BD38:BE38"/>
    <mergeCell ref="BH38:BK38"/>
    <mergeCell ref="BL38:BM38"/>
    <mergeCell ref="CI37:CN37"/>
    <mergeCell ref="CO37:CW37"/>
    <mergeCell ref="DA37:DG37"/>
    <mergeCell ref="CB38:CD38"/>
    <mergeCell ref="CE38:CF38"/>
    <mergeCell ref="CI38:CL38"/>
    <mergeCell ref="CM38:CN38"/>
    <mergeCell ref="CO38:CQ39"/>
    <mergeCell ref="CR38:CT39"/>
    <mergeCell ref="BN38:BP39"/>
    <mergeCell ref="BQ38:BS39"/>
    <mergeCell ref="BT38:BV39"/>
    <mergeCell ref="BW38:BW39"/>
    <mergeCell ref="BZ38:BZ39"/>
    <mergeCell ref="CA38:CA39"/>
    <mergeCell ref="DH37:DI37"/>
    <mergeCell ref="DJ37:DO37"/>
    <mergeCell ref="DP37:DX37"/>
    <mergeCell ref="DS34:DU35"/>
    <mergeCell ref="DV34:DX35"/>
    <mergeCell ref="DY34:DY35"/>
    <mergeCell ref="B68:K68"/>
    <mergeCell ref="AY37:BE37"/>
    <mergeCell ref="BF37:BG37"/>
    <mergeCell ref="BH37:BM37"/>
    <mergeCell ref="BN37:BV37"/>
    <mergeCell ref="BZ37:CF37"/>
    <mergeCell ref="CG37:CH37"/>
    <mergeCell ref="DB34:DB35"/>
    <mergeCell ref="DC34:DE34"/>
    <mergeCell ref="DF34:DG34"/>
    <mergeCell ref="DJ34:DM34"/>
    <mergeCell ref="DN34:DO34"/>
    <mergeCell ref="DP34:DR35"/>
    <mergeCell ref="CM34:CN34"/>
    <mergeCell ref="CO34:CQ35"/>
    <mergeCell ref="CR34:CT35"/>
    <mergeCell ref="CU34:CW35"/>
    <mergeCell ref="CX34:CX35"/>
    <mergeCell ref="DA34:DA35"/>
    <mergeCell ref="BW34:BW35"/>
    <mergeCell ref="BZ34:BZ35"/>
    <mergeCell ref="CA34:CA35"/>
    <mergeCell ref="CB34:CD34"/>
    <mergeCell ref="CE34:CF34"/>
    <mergeCell ref="CI34:CL34"/>
    <mergeCell ref="DP33:DX33"/>
    <mergeCell ref="AY34:AY35"/>
    <mergeCell ref="AZ34:AZ35"/>
    <mergeCell ref="BA34:BC34"/>
    <mergeCell ref="BD34:BE34"/>
    <mergeCell ref="BH34:BK34"/>
    <mergeCell ref="BL34:BM34"/>
    <mergeCell ref="BN34:BP35"/>
    <mergeCell ref="BQ34:BS35"/>
    <mergeCell ref="BT34:BV35"/>
    <mergeCell ref="CG33:CH33"/>
    <mergeCell ref="CI33:CN33"/>
    <mergeCell ref="CO33:CW33"/>
    <mergeCell ref="DA33:DG33"/>
    <mergeCell ref="DH33:DI33"/>
    <mergeCell ref="DJ33:DO33"/>
    <mergeCell ref="DN30:DO30"/>
    <mergeCell ref="DP30:DR31"/>
    <mergeCell ref="DS30:DU31"/>
    <mergeCell ref="DV30:DX31"/>
    <mergeCell ref="DY30:DY31"/>
    <mergeCell ref="AY33:BE33"/>
    <mergeCell ref="BF33:BG33"/>
    <mergeCell ref="BH33:BM33"/>
    <mergeCell ref="BN33:BV33"/>
    <mergeCell ref="BZ33:CF33"/>
    <mergeCell ref="CX30:CX31"/>
    <mergeCell ref="DA30:DA31"/>
    <mergeCell ref="DB30:DB31"/>
    <mergeCell ref="DC30:DE30"/>
    <mergeCell ref="DF30:DG30"/>
    <mergeCell ref="DJ30:DM30"/>
    <mergeCell ref="CB30:CD30"/>
    <mergeCell ref="CE30:CF30"/>
    <mergeCell ref="CM30:CN30"/>
    <mergeCell ref="CO30:CQ31"/>
    <mergeCell ref="CR30:CT31"/>
    <mergeCell ref="CU30:CW31"/>
    <mergeCell ref="BN30:BP31"/>
    <mergeCell ref="BQ30:BS31"/>
    <mergeCell ref="BT30:BV31"/>
    <mergeCell ref="BW30:BW31"/>
    <mergeCell ref="BZ30:BZ31"/>
    <mergeCell ref="CA30:CA31"/>
    <mergeCell ref="AY30:AY31"/>
    <mergeCell ref="AZ30:AZ31"/>
    <mergeCell ref="BA30:BC30"/>
    <mergeCell ref="BD30:BE30"/>
    <mergeCell ref="BH30:BK30"/>
    <mergeCell ref="BL30:BM30"/>
    <mergeCell ref="CO29:CW29"/>
    <mergeCell ref="DA29:DG29"/>
    <mergeCell ref="DH29:DI29"/>
    <mergeCell ref="DJ29:DO29"/>
    <mergeCell ref="DP29:DX29"/>
    <mergeCell ref="AY29:BE29"/>
    <mergeCell ref="BF29:BG29"/>
    <mergeCell ref="BH29:BM29"/>
    <mergeCell ref="BN29:BV29"/>
    <mergeCell ref="BZ29:CF29"/>
    <mergeCell ref="CG29:CH29"/>
    <mergeCell ref="C26:C27"/>
    <mergeCell ref="D26:D27"/>
    <mergeCell ref="F26:F27"/>
    <mergeCell ref="G26:G27"/>
    <mergeCell ref="H26:H27"/>
    <mergeCell ref="I26:I27"/>
    <mergeCell ref="J26:J27"/>
    <mergeCell ref="K26:K27"/>
    <mergeCell ref="CI29:CN29"/>
    <mergeCell ref="DV15:DX16"/>
    <mergeCell ref="DY15:DY16"/>
    <mergeCell ref="CU15:CW16"/>
    <mergeCell ref="CX15:CX16"/>
    <mergeCell ref="DA15:DA16"/>
    <mergeCell ref="DB15:DB16"/>
    <mergeCell ref="DC15:DE15"/>
    <mergeCell ref="DF15:DG15"/>
    <mergeCell ref="C25:N25"/>
    <mergeCell ref="BQ15:BS16"/>
    <mergeCell ref="BT15:BV16"/>
    <mergeCell ref="BW15:BW16"/>
    <mergeCell ref="BZ15:BZ16"/>
    <mergeCell ref="CA15:CA16"/>
    <mergeCell ref="DJ15:DM15"/>
    <mergeCell ref="DN15:DO15"/>
    <mergeCell ref="DP15:DR16"/>
    <mergeCell ref="DS15:DU16"/>
    <mergeCell ref="DJ14:DO14"/>
    <mergeCell ref="DP14:DX14"/>
    <mergeCell ref="AY14:BE14"/>
    <mergeCell ref="BF14:BG14"/>
    <mergeCell ref="BH14:BM14"/>
    <mergeCell ref="BN14:BV14"/>
    <mergeCell ref="BZ14:CF14"/>
    <mergeCell ref="CG14:CH14"/>
    <mergeCell ref="AY15:AY16"/>
    <mergeCell ref="AZ15:AZ16"/>
    <mergeCell ref="BA15:BC15"/>
    <mergeCell ref="BD15:BE15"/>
    <mergeCell ref="BH15:BK15"/>
    <mergeCell ref="BL15:BM15"/>
    <mergeCell ref="CI14:CN14"/>
    <mergeCell ref="CO14:CW14"/>
    <mergeCell ref="DA14:DG14"/>
    <mergeCell ref="CB15:CD15"/>
    <mergeCell ref="CE15:CF15"/>
    <mergeCell ref="CI15:CL15"/>
    <mergeCell ref="CM15:CN15"/>
    <mergeCell ref="CO15:CQ16"/>
    <mergeCell ref="CR15:CT16"/>
    <mergeCell ref="BN15:BP16"/>
    <mergeCell ref="P3:Q3"/>
    <mergeCell ref="B8:I8"/>
    <mergeCell ref="B9:B10"/>
    <mergeCell ref="C9:C10"/>
    <mergeCell ref="D9:D10"/>
    <mergeCell ref="F9:F10"/>
    <mergeCell ref="G9:G10"/>
    <mergeCell ref="H9:I10"/>
    <mergeCell ref="DH14:DI14"/>
  </mergeCells>
  <pageMargins left="0.7" right="0.7" top="0.75" bottom="0.75" header="0.3" footer="0.3"/>
  <pageSetup paperSize="9" orientation="portrait" horizont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Counts Forwards</vt:lpstr>
      <vt:lpstr>Counts Backs</vt:lpstr>
      <vt:lpstr>Counts Forwards &amp; Backs</vt:lpstr>
      <vt:lpstr>Proportions Forwards</vt:lpstr>
      <vt:lpstr>Proportions Backs</vt:lpstr>
      <vt:lpstr>Proportions Forwards &amp; Backs</vt:lpstr>
    </vt:vector>
  </TitlesOfParts>
  <Company>Victoria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 Hopkins</dc:creator>
  <cp:lastModifiedBy>Will</cp:lastModifiedBy>
  <dcterms:created xsi:type="dcterms:W3CDTF">2016-06-26T02:41:10Z</dcterms:created>
  <dcterms:modified xsi:type="dcterms:W3CDTF">2018-05-22T19:44:29Z</dcterms:modified>
</cp:coreProperties>
</file>